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P:\FINANCE\COMFI\1.Résultats et rapports trimestriels et annuels\2025\2025 Q3\6.FinSuppl\"/>
    </mc:Choice>
  </mc:AlternateContent>
  <xr:revisionPtr revIDLastSave="0" documentId="13_ncr:1_{4AC03F58-2B03-43B7-AF77-BD10A1B7C23A}" xr6:coauthVersionLast="47" xr6:coauthVersionMax="47" xr10:uidLastSave="{00000000-0000-0000-0000-000000000000}"/>
  <bookViews>
    <workbookView xWindow="30612" yWindow="-108" windowWidth="30936" windowHeight="16776" tabRatio="760" firstSheet="2" activeTab="6" xr2:uid="{72D08CBD-1132-4D69-9B0C-87FFEDA7996E}"/>
  </bookViews>
  <sheets>
    <sheet name="Content" sheetId="2" r:id="rId1"/>
    <sheet name="Group P&amp;L" sheetId="1" r:id="rId2"/>
    <sheet name="Group P&amp;L restated Amundi US" sheetId="14" r:id="rId3"/>
    <sheet name="Amundi US - P&amp;L contribution" sheetId="13" r:id="rId4"/>
    <sheet name="Assets &amp; flows-by segments" sheetId="3" r:id="rId5"/>
    <sheet name="Assets &amp; flows-by asset classes" sheetId="4" r:id="rId6"/>
    <sheet name="Assets &amp; flows-by geographies" sheetId="5" r:id="rId7"/>
    <sheet name="JV-details" sheetId="7" r:id="rId8"/>
    <sheet name="Shareholding" sheetId="9" r:id="rId9"/>
    <sheet name="UPSLIDE_UndoFormatting" sheetId="11" state="hidden" r:id="rId10"/>
    <sheet name="UPSLIDE_Undo" sheetId="10" state="hidden" r:id="rId11"/>
  </sheets>
  <definedNames>
    <definedName name="_UNDO_UPS_" hidden="1">#REF!</definedName>
    <definedName name="_UNDO_UPS_SEL_" hidden="1">#REF!</definedName>
    <definedName name="_UNDO31X31X_" localSheetId="3" hidden="1">'Amundi US - P&amp;L contribution'!#REF!</definedName>
    <definedName name="_UNDO31X31X_" localSheetId="2" hidden="1">'Group P&amp;L restated Amundi US'!$Z$12</definedName>
    <definedName name="_UNDO31X31X_" hidden="1">'Group P&amp;L'!$U$5</definedName>
    <definedName name="DateQ">Content!$B$1</definedName>
    <definedName name="DateRef">Content!$E$15</definedName>
    <definedName name="DateYtd">Content!$B$2</definedName>
    <definedName name="_xlnm.Print_Titles" localSheetId="3">'Amundi US - P&amp;L contribution'!$C:$D</definedName>
    <definedName name="_xlnm.Print_Titles" localSheetId="5">'Assets &amp; flows-by asset classes'!$C:$D</definedName>
    <definedName name="_xlnm.Print_Titles" localSheetId="6">'Assets &amp; flows-by geographies'!$C:$D</definedName>
    <definedName name="_xlnm.Print_Titles" localSheetId="4">'Assets &amp; flows-by segments'!$C:$D</definedName>
    <definedName name="_xlnm.Print_Titles" localSheetId="1">'Group P&amp;L'!$C:$D</definedName>
    <definedName name="_xlnm.Print_Titles" localSheetId="2">'Group P&amp;L restated Amundi US'!$C:$D</definedName>
    <definedName name="_xlnm.Print_Titles" localSheetId="7">'JV-details'!$C:$D</definedName>
    <definedName name="_xlnm.Print_Titles" localSheetId="8">Shareholding!$C:$D</definedName>
    <definedName name="TableMonths">Content!$J$1:$J$12</definedName>
    <definedName name="TableYtd">Content!$J$1:$K$12</definedName>
    <definedName name="_xlnm.Print_Area" localSheetId="3">'Amundi US - P&amp;L contribution'!#REF!,'Amundi US - P&amp;L contribution'!$E$4:$P$28</definedName>
    <definedName name="_xlnm.Print_Area" localSheetId="5">'Assets &amp; flows-by asset classes'!$C$6:$L$43,'Assets &amp; flows-by asset classes'!$C$45:$L$94,'Assets &amp; flows-by asset classes'!$N$6:$AJ$43,'Assets &amp; flows-by asset classes'!$N$45:$AJ$94</definedName>
    <definedName name="_xlnm.Print_Area" localSheetId="6">'Assets &amp; flows-by geographies'!$C$6:$L$28,'Assets &amp; flows-by geographies'!$N$6:$AJ$28</definedName>
    <definedName name="_xlnm.Print_Area" localSheetId="4">'Assets &amp; flows-by segments'!$C$6:$L$55,'Assets &amp; flows-by segments'!$C$57:$L$105,'Assets &amp; flows-by segments'!$N$6:$AJ$55,'Assets &amp; flows-by segments'!$N$57:$AJ$105</definedName>
    <definedName name="_xlnm.Print_Area" localSheetId="0">Content!$A$13:$R$70</definedName>
    <definedName name="_xlnm.Print_Area" localSheetId="1">'Group P&amp;L'!$E$4:$R$70,'Group P&amp;L'!$T$4:$AO$70</definedName>
    <definedName name="_xlnm.Print_Area" localSheetId="2">'Group P&amp;L restated Amundi US'!$E$4:$N$57,'Group P&amp;L restated Amundi US'!$P$4:$AD$57</definedName>
    <definedName name="_xlnm.Print_Area" localSheetId="7">'JV-details'!$C$6:$M$33,'JV-details'!$O$6:$AM$33</definedName>
    <definedName name="_xlnm.Print_Area" localSheetId="8">Shareholding!$E$4:$L$19,Shareholding!$N$4:$AA$19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 i="14" l="1"/>
  <c r="H2" i="13" l="1"/>
  <c r="I2" i="13" s="1"/>
  <c r="T12" i="14"/>
  <c r="S12" i="14"/>
  <c r="Z12" i="14"/>
  <c r="H15" i="13" l="1"/>
  <c r="H14" i="13"/>
  <c r="H5" i="13" a="1"/>
  <c r="H5" i="13" s="1"/>
  <c r="G53" i="14"/>
  <c r="G52" i="14"/>
  <c r="AA12" i="14"/>
  <c r="J5" i="13" l="1"/>
  <c r="L1" i="7"/>
  <c r="M12" i="14"/>
  <c r="J2" i="1"/>
  <c r="E4" i="1"/>
  <c r="M14" i="13" l="1"/>
  <c r="M15" i="13"/>
  <c r="I14" i="13"/>
  <c r="I15" i="13"/>
  <c r="K14" i="13"/>
  <c r="K15" i="13"/>
  <c r="AD12" i="14" l="1"/>
  <c r="AC12" i="14"/>
  <c r="AB12" i="14"/>
  <c r="F12" i="14" a="1"/>
  <c r="F12" i="14" s="1"/>
  <c r="E15" i="13" l="1"/>
  <c r="N15" i="13"/>
  <c r="E14" i="13"/>
  <c r="O15" i="13"/>
  <c r="G14" i="13"/>
  <c r="J14" i="13"/>
  <c r="L14" i="13"/>
  <c r="N14" i="13"/>
  <c r="O14" i="13"/>
  <c r="G15" i="13"/>
  <c r="J15" i="13"/>
  <c r="L15" i="13"/>
  <c r="J1" i="1" l="1"/>
  <c r="I1" i="1"/>
  <c r="I5" i="1" l="1"/>
  <c r="J5" i="1"/>
  <c r="E12" i="14" l="1" a="1"/>
  <c r="E12" i="14" s="1"/>
  <c r="P2" i="14"/>
  <c r="J1" i="14"/>
  <c r="R2" i="14" l="1"/>
  <c r="R12" i="14" s="1" a="1"/>
  <c r="R12" i="14" s="1"/>
  <c r="V2" i="14"/>
  <c r="W2" i="14" s="1"/>
  <c r="J12" i="14"/>
  <c r="P12" i="14" a="1"/>
  <c r="P12" i="14" s="1"/>
  <c r="W12" i="14" l="1" a="1"/>
  <c r="W12" i="14" s="1"/>
  <c r="X2" i="14"/>
  <c r="X12" i="14" s="1" a="1"/>
  <c r="X12" i="14" s="1"/>
  <c r="V12" i="14" a="1"/>
  <c r="V12" i="14" s="1"/>
  <c r="E4" i="13" l="1"/>
  <c r="O5" i="13"/>
  <c r="N5" i="13"/>
  <c r="L5" i="13"/>
  <c r="E2" i="13"/>
  <c r="E5" i="13" l="1" a="1"/>
  <c r="E5" i="13" s="1"/>
  <c r="I5" i="13" l="1" a="1"/>
  <c r="I5" i="13" s="1"/>
  <c r="K2" i="13"/>
  <c r="K5" i="13" s="1" a="1"/>
  <c r="K5" i="13" s="1"/>
  <c r="G5" i="13" a="1"/>
  <c r="G5" i="13" s="1"/>
  <c r="J2" i="13"/>
  <c r="M2" i="13" s="1"/>
  <c r="L2" i="13" l="1"/>
  <c r="N2" i="13" s="1"/>
  <c r="M5" i="13" a="1"/>
  <c r="M5" i="13" s="1"/>
  <c r="O2" i="13" l="1"/>
  <c r="AC3" i="5" l="1"/>
  <c r="AC3" i="4"/>
  <c r="AH1" i="1" l="1" a="1"/>
  <c r="AH1" i="1" s="1"/>
  <c r="F8" i="7" l="1" a="1"/>
  <c r="F8" i="7" s="1"/>
  <c r="E8" i="7" a="1"/>
  <c r="E8" i="7" s="1"/>
  <c r="E6" i="7" l="1"/>
  <c r="F4" i="7" a="1"/>
  <c r="F4" i="7" s="1"/>
  <c r="O3" i="7"/>
  <c r="I3" i="7"/>
  <c r="J3" i="7" s="1"/>
  <c r="J26" i="7" s="1"/>
  <c r="E3" i="7"/>
  <c r="E26" i="7" s="1" a="1"/>
  <c r="E26" i="7" s="1"/>
  <c r="L2" i="7" a="1"/>
  <c r="L2" i="7" s="1"/>
  <c r="I2" i="7" a="1"/>
  <c r="I2" i="7" s="1"/>
  <c r="F2" i="7" a="1"/>
  <c r="F2" i="7" s="1"/>
  <c r="O1" i="7"/>
  <c r="E1" i="7"/>
  <c r="E6" i="5"/>
  <c r="F4" i="5" a="1"/>
  <c r="F4" i="5" s="1"/>
  <c r="N3" i="5"/>
  <c r="P3" i="5" s="1"/>
  <c r="P19" i="5" s="1" a="1"/>
  <c r="P19" i="5" s="1"/>
  <c r="H3" i="5"/>
  <c r="H19" i="5" s="1"/>
  <c r="E3" i="5"/>
  <c r="E19" i="5" s="1" a="1"/>
  <c r="E19" i="5" s="1"/>
  <c r="K2" i="5" a="1"/>
  <c r="K2" i="5" s="1"/>
  <c r="H2" i="5" a="1"/>
  <c r="H2" i="5" s="1"/>
  <c r="F2" i="5" a="1"/>
  <c r="F2" i="5" s="1"/>
  <c r="N1" i="5"/>
  <c r="P1" i="5" s="1"/>
  <c r="E1" i="5"/>
  <c r="E6" i="4"/>
  <c r="F4" i="4" a="1"/>
  <c r="F4" i="4" s="1"/>
  <c r="N3" i="4"/>
  <c r="H3" i="4"/>
  <c r="E3" i="4"/>
  <c r="E73" i="4" s="1" a="1"/>
  <c r="E73" i="4" s="1"/>
  <c r="K2" i="4" a="1"/>
  <c r="K2" i="4" s="1"/>
  <c r="H2" i="4" a="1"/>
  <c r="H2" i="4" s="1"/>
  <c r="F2" i="4" a="1"/>
  <c r="F2" i="4" s="1"/>
  <c r="N1" i="4"/>
  <c r="E1" i="4"/>
  <c r="F3" i="5" l="1"/>
  <c r="F19" i="5" s="1" a="1"/>
  <c r="F19" i="5" s="1"/>
  <c r="K1" i="5"/>
  <c r="K8" i="5" s="1"/>
  <c r="Q3" i="7"/>
  <c r="Q8" i="7" s="1" a="1"/>
  <c r="Q8" i="7" s="1"/>
  <c r="O8" i="7" a="1"/>
  <c r="O8" i="7" s="1"/>
  <c r="Q1" i="7"/>
  <c r="Q17" i="7" s="1"/>
  <c r="K3" i="4"/>
  <c r="K27" i="4" s="1"/>
  <c r="H73" i="4"/>
  <c r="O3" i="4"/>
  <c r="N73" i="4" a="1"/>
  <c r="N73" i="4" s="1"/>
  <c r="E27" i="4" a="1"/>
  <c r="E27" i="4" s="1"/>
  <c r="K1" i="4"/>
  <c r="L8" i="4" s="1"/>
  <c r="E48" i="4"/>
  <c r="P1" i="4"/>
  <c r="P2" i="4" s="1" a="1"/>
  <c r="P2" i="4" s="1"/>
  <c r="N48" i="4"/>
  <c r="H27" i="4"/>
  <c r="N8" i="4"/>
  <c r="N27" i="4" a="1"/>
  <c r="N27" i="4" s="1"/>
  <c r="O26" i="7" a="1"/>
  <c r="O26" i="7" s="1"/>
  <c r="E8" i="4"/>
  <c r="O17" i="7"/>
  <c r="L3" i="7"/>
  <c r="P3" i="7"/>
  <c r="J4" i="7"/>
  <c r="I1" i="7"/>
  <c r="E17" i="7"/>
  <c r="F1" i="7"/>
  <c r="I26" i="7"/>
  <c r="F3" i="7"/>
  <c r="F26" i="7" s="1" a="1"/>
  <c r="F26" i="7" s="1"/>
  <c r="N19" i="5" a="1"/>
  <c r="N19" i="5" s="1"/>
  <c r="E8" i="5"/>
  <c r="K3" i="5"/>
  <c r="I3" i="5"/>
  <c r="F1" i="5"/>
  <c r="G8" i="5" s="1"/>
  <c r="H1" i="5"/>
  <c r="I8" i="5" s="1"/>
  <c r="P4" i="5" a="1"/>
  <c r="P4" i="5" s="1"/>
  <c r="Q3" i="5"/>
  <c r="R3" i="5"/>
  <c r="R1" i="5"/>
  <c r="U1" i="5" s="1"/>
  <c r="W1" i="5" s="1"/>
  <c r="Y1" i="5" s="1"/>
  <c r="AA1" i="5" s="1"/>
  <c r="P2" i="5" a="1"/>
  <c r="P2" i="5" s="1"/>
  <c r="P8" i="5"/>
  <c r="N8" i="5"/>
  <c r="O3" i="5"/>
  <c r="F3" i="4"/>
  <c r="F1" i="4"/>
  <c r="H1" i="4"/>
  <c r="I3" i="4"/>
  <c r="I73" i="4" s="1"/>
  <c r="P3" i="4"/>
  <c r="AA2" i="5" l="1" a="1"/>
  <c r="AA2" i="5" s="1"/>
  <c r="AA8" i="5"/>
  <c r="Q3" i="4"/>
  <c r="Q27" i="4" s="1"/>
  <c r="P27" i="4" a="1"/>
  <c r="P27" i="4" s="1"/>
  <c r="Q4" i="4"/>
  <c r="Q73" i="4"/>
  <c r="Y2" i="5" a="1"/>
  <c r="Y2" i="5" s="1"/>
  <c r="Y8" i="5"/>
  <c r="W8" i="5"/>
  <c r="W2" i="5" a="1"/>
  <c r="W2" i="5" s="1"/>
  <c r="R19" i="5" a="1"/>
  <c r="R19" i="5" s="1"/>
  <c r="U3" i="5"/>
  <c r="W3" i="5" s="1"/>
  <c r="U2" i="5" a="1"/>
  <c r="U2" i="5" s="1"/>
  <c r="U8" i="5"/>
  <c r="O73" i="4"/>
  <c r="O27" i="4"/>
  <c r="R1" i="4"/>
  <c r="R48" i="4" s="1"/>
  <c r="Q4" i="7" a="1"/>
  <c r="Q4" i="7" s="1"/>
  <c r="S1" i="7"/>
  <c r="S3" i="7"/>
  <c r="Q26" i="7" a="1"/>
  <c r="Q26" i="7" s="1"/>
  <c r="R3" i="7"/>
  <c r="R4" i="7" s="1"/>
  <c r="J8" i="7"/>
  <c r="Q2" i="7" a="1"/>
  <c r="Q2" i="7" s="1"/>
  <c r="F27" i="4" a="1"/>
  <c r="F27" i="4" s="1"/>
  <c r="F73" i="4" a="1"/>
  <c r="F73" i="4" s="1"/>
  <c r="O4" i="4"/>
  <c r="G48" i="4"/>
  <c r="F48" i="4"/>
  <c r="K4" i="4"/>
  <c r="K73" i="4"/>
  <c r="P73" i="4" a="1"/>
  <c r="P73" i="4" s="1"/>
  <c r="P8" i="4"/>
  <c r="P48" i="4"/>
  <c r="I48" i="4"/>
  <c r="H48" i="4"/>
  <c r="K8" i="4"/>
  <c r="K48" i="4"/>
  <c r="L48" i="4"/>
  <c r="I4" i="4"/>
  <c r="I27" i="4"/>
  <c r="F17" i="7"/>
  <c r="G17" i="7"/>
  <c r="P26" i="7"/>
  <c r="P4" i="7"/>
  <c r="L17" i="7"/>
  <c r="M17" i="7"/>
  <c r="J17" i="7"/>
  <c r="I17" i="7"/>
  <c r="L4" i="7"/>
  <c r="L26" i="7"/>
  <c r="F8" i="5"/>
  <c r="L8" i="5"/>
  <c r="H8" i="5"/>
  <c r="O4" i="5"/>
  <c r="O19" i="5"/>
  <c r="Q4" i="5"/>
  <c r="Q19" i="5"/>
  <c r="I4" i="5"/>
  <c r="I19" i="5"/>
  <c r="K4" i="5"/>
  <c r="K19" i="5"/>
  <c r="R8" i="5"/>
  <c r="R2" i="5" a="1"/>
  <c r="R2" i="5" s="1"/>
  <c r="S3" i="5"/>
  <c r="R4" i="5" a="1"/>
  <c r="R4" i="5" s="1"/>
  <c r="AC19" i="5" a="1"/>
  <c r="AC19" i="5" s="1"/>
  <c r="H8" i="4"/>
  <c r="I8" i="4"/>
  <c r="G8" i="4"/>
  <c r="F8" i="4"/>
  <c r="P4" i="4" a="1"/>
  <c r="P4" i="4" s="1"/>
  <c r="R3" i="4"/>
  <c r="U3" i="4" l="1"/>
  <c r="W3" i="4" s="1"/>
  <c r="W4" i="4" s="1" a="1"/>
  <c r="W4" i="4" s="1"/>
  <c r="R27" i="4" a="1"/>
  <c r="R27" i="4" s="1"/>
  <c r="X3" i="5"/>
  <c r="Y3" i="5"/>
  <c r="W4" i="5" a="1"/>
  <c r="W4" i="5" s="1"/>
  <c r="W19" i="5" a="1"/>
  <c r="W19" i="5" s="1"/>
  <c r="R2" i="4" a="1"/>
  <c r="R2" i="4" s="1"/>
  <c r="S8" i="7" a="1"/>
  <c r="S8" i="7" s="1"/>
  <c r="V3" i="7"/>
  <c r="X3" i="7" s="1"/>
  <c r="V1" i="7"/>
  <c r="X1" i="7" s="1"/>
  <c r="Z1" i="7" s="1"/>
  <c r="U4" i="5" a="1"/>
  <c r="U4" i="5" s="1"/>
  <c r="V3" i="5"/>
  <c r="U19" i="5" a="1"/>
  <c r="U19" i="5" s="1"/>
  <c r="U4" i="4" a="1"/>
  <c r="U4" i="4" s="1"/>
  <c r="V3" i="4"/>
  <c r="V27" i="4" s="1"/>
  <c r="R8" i="4"/>
  <c r="U1" i="4"/>
  <c r="W1" i="4" s="1"/>
  <c r="Y1" i="4" s="1"/>
  <c r="AA1" i="4" s="1"/>
  <c r="R26" i="7"/>
  <c r="S26" i="7" a="1"/>
  <c r="S26" i="7" s="1"/>
  <c r="S17" i="7"/>
  <c r="S2" i="7" a="1"/>
  <c r="S2" i="7" s="1"/>
  <c r="S4" i="7" a="1"/>
  <c r="S4" i="7" s="1"/>
  <c r="AE8" i="7" a="1"/>
  <c r="AE8" i="7" s="1"/>
  <c r="T3" i="7"/>
  <c r="L8" i="7"/>
  <c r="R8" i="7"/>
  <c r="P8" i="7"/>
  <c r="AC8" i="4"/>
  <c r="AC48" i="4"/>
  <c r="R73" i="4" a="1"/>
  <c r="R73" i="4" s="1"/>
  <c r="S4" i="5"/>
  <c r="S19" i="5"/>
  <c r="AC4" i="5" a="1"/>
  <c r="AC4" i="5" s="1"/>
  <c r="AE3" i="5"/>
  <c r="AE19" i="5" s="1" a="1"/>
  <c r="AE19" i="5" s="1"/>
  <c r="AD3" i="5"/>
  <c r="AC8" i="5"/>
  <c r="AC2" i="5" a="1"/>
  <c r="AC2" i="5" s="1"/>
  <c r="AE1" i="5"/>
  <c r="AE1" i="4"/>
  <c r="AC2" i="4" a="1"/>
  <c r="AC2" i="4" s="1"/>
  <c r="S3" i="4"/>
  <c r="S27" i="4" s="1" a="1"/>
  <c r="S27" i="4" s="1"/>
  <c r="R4" i="4" a="1"/>
  <c r="R4" i="4" s="1"/>
  <c r="W27" i="4" l="1" a="1"/>
  <c r="W27" i="4" s="1"/>
  <c r="W73" i="4" a="1"/>
  <c r="W73" i="4" s="1"/>
  <c r="U73" i="4" a="1"/>
  <c r="U73" i="4" s="1"/>
  <c r="U27" i="4" a="1"/>
  <c r="U27" i="4" s="1"/>
  <c r="Z2" i="7" a="1"/>
  <c r="Z2" i="7" s="1"/>
  <c r="AB1" i="7"/>
  <c r="Z17" i="7"/>
  <c r="Y3" i="7"/>
  <c r="Z3" i="7"/>
  <c r="Z3" i="5"/>
  <c r="AA3" i="5"/>
  <c r="X3" i="4"/>
  <c r="X27" i="4" s="1"/>
  <c r="Y3" i="4"/>
  <c r="Y4" i="4" s="1" a="1"/>
  <c r="Y4" i="4" s="1"/>
  <c r="AA2" i="4" a="1"/>
  <c r="AA2" i="4" s="1"/>
  <c r="AA8" i="4"/>
  <c r="AA48" i="4"/>
  <c r="S73" i="4"/>
  <c r="Y19" i="5" a="1"/>
  <c r="Y19" i="5" s="1"/>
  <c r="Y4" i="5" a="1"/>
  <c r="Y4" i="5" s="1"/>
  <c r="X4" i="5"/>
  <c r="X19" i="5"/>
  <c r="Y2" i="4" a="1"/>
  <c r="Y2" i="4" s="1"/>
  <c r="Y48" i="4"/>
  <c r="Y8" i="4"/>
  <c r="Y27" i="4" a="1"/>
  <c r="Y27" i="4" s="1"/>
  <c r="AE1" i="7"/>
  <c r="AE17" i="7" s="1"/>
  <c r="X2" i="7" a="1"/>
  <c r="X2" i="7" s="1"/>
  <c r="X17" i="7"/>
  <c r="X26" i="7" a="1"/>
  <c r="X26" i="7" s="1"/>
  <c r="X4" i="7" a="1"/>
  <c r="X4" i="7" s="1"/>
  <c r="X8" i="7" a="1"/>
  <c r="X8" i="7" s="1"/>
  <c r="W48" i="4"/>
  <c r="W8" i="4"/>
  <c r="W2" i="4" a="1"/>
  <c r="W2" i="4" s="1"/>
  <c r="V26" i="7" a="1"/>
  <c r="V26" i="7" s="1"/>
  <c r="W3" i="7"/>
  <c r="V8" i="7" a="1"/>
  <c r="V8" i="7" s="1"/>
  <c r="V4" i="7" a="1"/>
  <c r="V4" i="7" s="1"/>
  <c r="V17" i="7"/>
  <c r="V2" i="7" a="1"/>
  <c r="V2" i="7" s="1"/>
  <c r="V19" i="5"/>
  <c r="V4" i="5"/>
  <c r="U48" i="4"/>
  <c r="U2" i="4" a="1"/>
  <c r="U2" i="4" s="1"/>
  <c r="U8" i="4"/>
  <c r="V73" i="4"/>
  <c r="V4" i="4"/>
  <c r="T26" i="7"/>
  <c r="AG3" i="7"/>
  <c r="AG8" i="7" s="1" a="1"/>
  <c r="AG8" i="7" s="1"/>
  <c r="AE4" i="7" a="1"/>
  <c r="AE4" i="7" s="1"/>
  <c r="AE26" i="7" a="1"/>
  <c r="AE26" i="7" s="1"/>
  <c r="AF3" i="7"/>
  <c r="AF26" i="7" s="1"/>
  <c r="T4" i="7"/>
  <c r="AC27" i="4" a="1"/>
  <c r="AC27" i="4" s="1"/>
  <c r="AC73" i="4" a="1"/>
  <c r="AC73" i="4" s="1"/>
  <c r="AE8" i="4"/>
  <c r="AE48" i="4"/>
  <c r="S4" i="4"/>
  <c r="AD4" i="5"/>
  <c r="AD19" i="5"/>
  <c r="AG1" i="5"/>
  <c r="AE8" i="5"/>
  <c r="AE2" i="5" a="1"/>
  <c r="AE2" i="5" s="1"/>
  <c r="AF3" i="5"/>
  <c r="AE4" i="5" a="1"/>
  <c r="AE4" i="5" s="1"/>
  <c r="AG3" i="5"/>
  <c r="AG19" i="5" s="1" a="1"/>
  <c r="AG19" i="5" s="1"/>
  <c r="AE2" i="4" a="1"/>
  <c r="AE2" i="4" s="1"/>
  <c r="AG1" i="4"/>
  <c r="AD3" i="4"/>
  <c r="AC4" i="4" a="1"/>
  <c r="AC4" i="4" s="1"/>
  <c r="AE3" i="4"/>
  <c r="X4" i="4" l="1"/>
  <c r="X73" i="4"/>
  <c r="Y73" i="4" a="1"/>
  <c r="Y73" i="4" s="1"/>
  <c r="Y26" i="7"/>
  <c r="Y4" i="7"/>
  <c r="Z8" i="7" a="1"/>
  <c r="Z8" i="7" s="1"/>
  <c r="AA3" i="7"/>
  <c r="Z26" i="7" a="1"/>
  <c r="Z26" i="7" s="1"/>
  <c r="Z4" i="7" a="1"/>
  <c r="Z4" i="7" s="1"/>
  <c r="AB3" i="7"/>
  <c r="AB2" i="7" a="1"/>
  <c r="AB2" i="7" s="1"/>
  <c r="AB17" i="7"/>
  <c r="AA19" i="5" a="1"/>
  <c r="AA19" i="5" s="1"/>
  <c r="AA4" i="5" a="1"/>
  <c r="AA4" i="5" s="1"/>
  <c r="Z19" i="5"/>
  <c r="Z4" i="5"/>
  <c r="AA3" i="4"/>
  <c r="Z3" i="4"/>
  <c r="AE2" i="7" a="1"/>
  <c r="AE2" i="7" s="1"/>
  <c r="AG1" i="7"/>
  <c r="AI1" i="7" s="1"/>
  <c r="AK1" i="7" s="1"/>
  <c r="AN1" i="7" s="1"/>
  <c r="AF4" i="7"/>
  <c r="AH3" i="7"/>
  <c r="AH26" i="7" s="1"/>
  <c r="AG4" i="7" a="1"/>
  <c r="AG4" i="7" s="1"/>
  <c r="W4" i="7"/>
  <c r="W26" i="7"/>
  <c r="AG26" i="7" a="1"/>
  <c r="AG26" i="7" s="1"/>
  <c r="AD73" i="4"/>
  <c r="AD27" i="4"/>
  <c r="AI3" i="7"/>
  <c r="AI8" i="7" s="1" a="1"/>
  <c r="AI8" i="7" s="1"/>
  <c r="T8" i="7"/>
  <c r="AG8" i="4"/>
  <c r="AG48" i="4"/>
  <c r="AE27" i="4" a="1"/>
  <c r="AE27" i="4" s="1"/>
  <c r="AE73" i="4" a="1"/>
  <c r="AE73" i="4" s="1"/>
  <c r="AD4" i="4"/>
  <c r="AF4" i="5"/>
  <c r="AF19" i="5"/>
  <c r="AI3" i="5"/>
  <c r="AG4" i="5" a="1"/>
  <c r="AG4" i="5" s="1"/>
  <c r="AH3" i="5"/>
  <c r="AG8" i="5"/>
  <c r="AG2" i="5" a="1"/>
  <c r="AG2" i="5" s="1"/>
  <c r="AI1" i="5"/>
  <c r="AL1" i="5" s="1"/>
  <c r="AE4" i="4" a="1"/>
  <c r="AE4" i="4" s="1"/>
  <c r="AG3" i="4"/>
  <c r="AF3" i="4"/>
  <c r="AI1" i="4"/>
  <c r="AG2" i="4" a="1"/>
  <c r="AG2" i="4" s="1"/>
  <c r="AA26" i="7" l="1"/>
  <c r="AA4" i="7"/>
  <c r="AB8" i="7" a="1"/>
  <c r="AB8" i="7" s="1"/>
  <c r="AB26" i="7" a="1"/>
  <c r="AB26" i="7" s="1"/>
  <c r="AB4" i="7" a="1"/>
  <c r="AB4" i="7" s="1"/>
  <c r="AC3" i="7"/>
  <c r="Y8" i="7"/>
  <c r="Z27" i="4"/>
  <c r="Z73" i="4"/>
  <c r="Z4" i="4"/>
  <c r="AA4" i="4" a="1"/>
  <c r="AA4" i="4" s="1"/>
  <c r="AA27" i="4" a="1"/>
  <c r="AA27" i="4" s="1"/>
  <c r="AA73" i="4" a="1"/>
  <c r="AA73" i="4" s="1"/>
  <c r="S93" i="4"/>
  <c r="AG17" i="7"/>
  <c r="AI17" i="7"/>
  <c r="AI2" i="7" a="1"/>
  <c r="AI2" i="7" s="1"/>
  <c r="AG2" i="7" a="1"/>
  <c r="AG2" i="7" s="1"/>
  <c r="AP1" i="7"/>
  <c r="AN2" i="7" a="1"/>
  <c r="AN2" i="7" s="1"/>
  <c r="AF8" i="7"/>
  <c r="AH4" i="7"/>
  <c r="W8" i="7"/>
  <c r="AJ3" i="7"/>
  <c r="AJ26" i="7" s="1"/>
  <c r="AF73" i="4"/>
  <c r="AF27" i="4"/>
  <c r="AI26" i="7" a="1"/>
  <c r="AI26" i="7" s="1"/>
  <c r="AK3" i="7"/>
  <c r="AK26" i="7" s="1" a="1"/>
  <c r="AK26" i="7" s="1"/>
  <c r="AI4" i="7" a="1"/>
  <c r="AI4" i="7" s="1"/>
  <c r="AI48" i="4"/>
  <c r="AL1" i="4"/>
  <c r="AI19" i="5" a="1"/>
  <c r="AI19" i="5" s="1"/>
  <c r="AL3" i="5"/>
  <c r="AN1" i="5"/>
  <c r="AL2" i="5" a="1"/>
  <c r="AL2" i="5" s="1"/>
  <c r="AL8" i="5"/>
  <c r="AG27" i="4" a="1"/>
  <c r="AG27" i="4" s="1"/>
  <c r="AG73" i="4" a="1"/>
  <c r="AG73" i="4" s="1"/>
  <c r="AI2" i="4" a="1"/>
  <c r="AI2" i="4" s="1"/>
  <c r="AI8" i="4"/>
  <c r="AF4" i="4"/>
  <c r="AK17" i="7"/>
  <c r="AK2" i="7" a="1"/>
  <c r="AK2" i="7" s="1"/>
  <c r="AH4" i="5"/>
  <c r="AH19" i="5"/>
  <c r="AI2" i="5" a="1"/>
  <c r="AI2" i="5" s="1"/>
  <c r="AI8" i="5"/>
  <c r="AJ3" i="5"/>
  <c r="AI4" i="5" a="1"/>
  <c r="AI4" i="5" s="1"/>
  <c r="AG4" i="4" a="1"/>
  <c r="AG4" i="4" s="1"/>
  <c r="AI3" i="4"/>
  <c r="AL3" i="4" s="1"/>
  <c r="AH3" i="4"/>
  <c r="AA8" i="7" l="1"/>
  <c r="AC26" i="7"/>
  <c r="AC4" i="7"/>
  <c r="AR1" i="7"/>
  <c r="AP2" i="7" a="1"/>
  <c r="AP2" i="7" s="1"/>
  <c r="AH8" i="7"/>
  <c r="AK4" i="7" a="1"/>
  <c r="AK4" i="7" s="1"/>
  <c r="AJ4" i="7"/>
  <c r="AK8" i="7" a="1"/>
  <c r="AK8" i="7" s="1"/>
  <c r="AL3" i="7"/>
  <c r="AL4" i="7" s="1"/>
  <c r="AN3" i="7"/>
  <c r="AN8" i="7" s="1" a="1"/>
  <c r="AN8" i="7" s="1"/>
  <c r="AH27" i="4"/>
  <c r="AH73" i="4"/>
  <c r="AL27" i="4" a="1"/>
  <c r="AL27" i="4" s="1"/>
  <c r="AM3" i="4"/>
  <c r="AL4" i="4" a="1"/>
  <c r="AL4" i="4" s="1"/>
  <c r="AN3" i="4"/>
  <c r="AL73" i="4" a="1"/>
  <c r="AL73" i="4" s="1"/>
  <c r="AL48" i="4"/>
  <c r="AL8" i="4"/>
  <c r="AL2" i="4" a="1"/>
  <c r="AL2" i="4" s="1"/>
  <c r="AN1" i="4"/>
  <c r="AN17" i="7"/>
  <c r="AP1" i="5"/>
  <c r="AN8" i="5"/>
  <c r="AN2" i="5" a="1"/>
  <c r="AN2" i="5" s="1"/>
  <c r="AL19" i="5" a="1"/>
  <c r="AL19" i="5" s="1"/>
  <c r="AL4" i="5" a="1"/>
  <c r="AL4" i="5" s="1"/>
  <c r="AM3" i="5"/>
  <c r="AN3" i="5"/>
  <c r="AI27" i="4" a="1"/>
  <c r="AI27" i="4" s="1"/>
  <c r="AI73" i="4" a="1"/>
  <c r="AI73" i="4" s="1"/>
  <c r="AH4" i="4"/>
  <c r="AJ4" i="5"/>
  <c r="AJ19" i="5"/>
  <c r="AI4" i="4" a="1"/>
  <c r="AI4" i="4" s="1"/>
  <c r="AJ3" i="4"/>
  <c r="AC8" i="7" l="1"/>
  <c r="AT1" i="7"/>
  <c r="AT2" i="7" s="1" a="1"/>
  <c r="AT2" i="7" s="1"/>
  <c r="AR2" i="7" a="1"/>
  <c r="AR2" i="7" s="1"/>
  <c r="AJ8" i="7"/>
  <c r="AN26" i="7" a="1"/>
  <c r="AN26" i="7" s="1"/>
  <c r="AL26" i="7"/>
  <c r="AN4" i="7" a="1"/>
  <c r="AN4" i="7" s="1"/>
  <c r="AP3" i="7"/>
  <c r="AP8" i="7" s="1" a="1"/>
  <c r="AP8" i="7" s="1"/>
  <c r="AO3" i="7"/>
  <c r="AJ27" i="4"/>
  <c r="AJ73" i="4"/>
  <c r="AM27" i="4"/>
  <c r="AM73" i="4"/>
  <c r="AN73" i="4" a="1"/>
  <c r="AN73" i="4" s="1"/>
  <c r="AP3" i="4"/>
  <c r="AN27" i="4" a="1"/>
  <c r="AN27" i="4" s="1"/>
  <c r="AN4" i="4" a="1"/>
  <c r="AN4" i="4" s="1"/>
  <c r="AO3" i="4"/>
  <c r="AM4" i="4"/>
  <c r="AP1" i="4"/>
  <c r="AN8" i="4"/>
  <c r="AN48" i="4"/>
  <c r="AN2" i="4" a="1"/>
  <c r="AN2" i="4" s="1"/>
  <c r="AR17" i="7"/>
  <c r="AL8" i="7"/>
  <c r="AP17" i="7"/>
  <c r="AN19" i="5" a="1"/>
  <c r="AN19" i="5" s="1"/>
  <c r="AP3" i="5"/>
  <c r="AN4" i="5" a="1"/>
  <c r="AN4" i="5" s="1"/>
  <c r="AO3" i="5"/>
  <c r="AR1" i="5"/>
  <c r="AP8" i="5"/>
  <c r="AP2" i="5" a="1"/>
  <c r="AP2" i="5" s="1"/>
  <c r="AM19" i="5"/>
  <c r="AM4" i="5"/>
  <c r="AJ4" i="4"/>
  <c r="AP26" i="7" l="1" a="1"/>
  <c r="AP26" i="7" s="1"/>
  <c r="AQ3" i="7"/>
  <c r="AP4" i="7" a="1"/>
  <c r="AP4" i="7" s="1"/>
  <c r="AR3" i="7"/>
  <c r="AR8" i="7" s="1" a="1"/>
  <c r="AR8" i="7" s="1"/>
  <c r="AO4" i="7"/>
  <c r="AO26" i="7"/>
  <c r="AO27" i="4"/>
  <c r="AO73" i="4"/>
  <c r="AP27" i="4" a="1"/>
  <c r="AP27" i="4" s="1"/>
  <c r="AP4" i="4" a="1"/>
  <c r="AP4" i="4" s="1"/>
  <c r="AR3" i="4"/>
  <c r="AQ3" i="4"/>
  <c r="AP73" i="4" a="1"/>
  <c r="AP73" i="4" s="1"/>
  <c r="AP8" i="4"/>
  <c r="AR1" i="4"/>
  <c r="AP2" i="4" a="1"/>
  <c r="AP2" i="4" s="1"/>
  <c r="AP48" i="4"/>
  <c r="AO4" i="4"/>
  <c r="AR2" i="5" a="1"/>
  <c r="AR2" i="5" s="1"/>
  <c r="AR8" i="5"/>
  <c r="AO19" i="5"/>
  <c r="AO4" i="5"/>
  <c r="AP19" i="5" a="1"/>
  <c r="AP19" i="5" s="1"/>
  <c r="AP4" i="5" a="1"/>
  <c r="AP4" i="5" s="1"/>
  <c r="AR3" i="5"/>
  <c r="AQ3" i="5"/>
  <c r="AS3" i="7" l="1"/>
  <c r="AS4" i="7" s="1"/>
  <c r="AR4" i="7" a="1"/>
  <c r="AR4" i="7" s="1"/>
  <c r="AT3" i="7"/>
  <c r="AT8" i="7" s="1" a="1"/>
  <c r="AT8" i="7" s="1"/>
  <c r="AO8" i="7"/>
  <c r="AR26" i="7" a="1"/>
  <c r="AR26" i="7" s="1"/>
  <c r="AQ26" i="7"/>
  <c r="AQ4" i="7"/>
  <c r="AQ27" i="4"/>
  <c r="AQ73" i="4"/>
  <c r="AS26" i="7"/>
  <c r="AT17" i="7"/>
  <c r="AR48" i="4"/>
  <c r="AR8" i="4"/>
  <c r="AR2" i="4" a="1"/>
  <c r="AR2" i="4" s="1"/>
  <c r="AQ4" i="4"/>
  <c r="AR73" i="4" a="1"/>
  <c r="AR73" i="4" s="1"/>
  <c r="AS3" i="4"/>
  <c r="AR27" i="4" a="1"/>
  <c r="AR27" i="4" s="1"/>
  <c r="AR4" i="4" a="1"/>
  <c r="AR4" i="4" s="1"/>
  <c r="AS3" i="5"/>
  <c r="AR4" i="5" a="1"/>
  <c r="AR4" i="5" s="1"/>
  <c r="AR19" i="5" a="1"/>
  <c r="AR19" i="5" s="1"/>
  <c r="AQ4" i="5"/>
  <c r="AQ19" i="5"/>
  <c r="E6" i="3"/>
  <c r="F4" i="3" a="1"/>
  <c r="F4" i="3" s="1"/>
  <c r="H3" i="3"/>
  <c r="N3" i="3"/>
  <c r="N90" i="3" s="1" a="1"/>
  <c r="N90" i="3" s="1"/>
  <c r="E3" i="3"/>
  <c r="N1" i="3"/>
  <c r="N40" i="3" s="1"/>
  <c r="K2" i="3" a="1"/>
  <c r="K2" i="3" s="1"/>
  <c r="H2" i="3" a="1"/>
  <c r="H2" i="3" s="1"/>
  <c r="F2" i="3" a="1"/>
  <c r="F2" i="3" s="1"/>
  <c r="E1" i="3"/>
  <c r="Q1" i="1"/>
  <c r="N1" i="1"/>
  <c r="E2" i="9"/>
  <c r="E5" i="9" s="1"/>
  <c r="C5" i="9"/>
  <c r="AS8" i="7" l="1"/>
  <c r="AT4" i="7" a="1"/>
  <c r="AT4" i="7" s="1"/>
  <c r="AU3" i="7"/>
  <c r="AU26" i="7" s="1"/>
  <c r="E90" i="3" a="1"/>
  <c r="E90" i="3" s="1"/>
  <c r="E58" i="3" a="1"/>
  <c r="E58" i="3" s="1"/>
  <c r="AQ8" i="7"/>
  <c r="AT26" i="7" a="1"/>
  <c r="AT26" i="7" s="1"/>
  <c r="AS73" i="4"/>
  <c r="AS27" i="4"/>
  <c r="AS4" i="4"/>
  <c r="AS4" i="5"/>
  <c r="AS19" i="5"/>
  <c r="H74" i="3"/>
  <c r="H90" i="3"/>
  <c r="E74" i="3" a="1"/>
  <c r="E74" i="3" s="1"/>
  <c r="P3" i="3"/>
  <c r="P4" i="3" s="1" a="1"/>
  <c r="P4" i="3" s="1"/>
  <c r="N74" i="3" a="1"/>
  <c r="N74" i="3" s="1"/>
  <c r="E40" i="3"/>
  <c r="F1" i="3"/>
  <c r="P1" i="3"/>
  <c r="P2" i="3" s="1" a="1"/>
  <c r="P2" i="3" s="1"/>
  <c r="N24" i="3"/>
  <c r="K1" i="3"/>
  <c r="L8" i="3" s="1"/>
  <c r="E24" i="3"/>
  <c r="O3" i="3"/>
  <c r="N58" i="3" a="1"/>
  <c r="N58" i="3" s="1"/>
  <c r="K3" i="3"/>
  <c r="K90" i="3" s="1"/>
  <c r="H58" i="3"/>
  <c r="I3" i="3"/>
  <c r="I90" i="3" s="1"/>
  <c r="F3" i="3"/>
  <c r="F90" i="3" s="1" a="1"/>
  <c r="F90" i="3" s="1"/>
  <c r="N8" i="3"/>
  <c r="E8" i="3"/>
  <c r="H1" i="3"/>
  <c r="E1" i="9" a="1"/>
  <c r="E1" i="9" s="1"/>
  <c r="H2" i="9"/>
  <c r="AU4" i="7" l="1"/>
  <c r="AU8" i="7" s="1"/>
  <c r="F1" i="9"/>
  <c r="R3" i="3"/>
  <c r="R90" i="3" s="1" a="1"/>
  <c r="R90" i="3" s="1"/>
  <c r="P74" i="3" a="1"/>
  <c r="P74" i="3" s="1"/>
  <c r="P90" i="3" a="1"/>
  <c r="P90" i="3" s="1"/>
  <c r="O74" i="3"/>
  <c r="O90" i="3"/>
  <c r="K58" i="3"/>
  <c r="K74" i="3"/>
  <c r="F58" i="3" a="1"/>
  <c r="F58" i="3" s="1"/>
  <c r="F74" i="3" a="1"/>
  <c r="F74" i="3" s="1"/>
  <c r="P58" i="3" a="1"/>
  <c r="P58" i="3" s="1"/>
  <c r="I58" i="3"/>
  <c r="I74" i="3"/>
  <c r="R1" i="3"/>
  <c r="R24" i="3" s="1"/>
  <c r="K4" i="3"/>
  <c r="K40" i="3"/>
  <c r="L40" i="3"/>
  <c r="P24" i="3"/>
  <c r="P40" i="3"/>
  <c r="H40" i="3"/>
  <c r="I40" i="3"/>
  <c r="G40" i="3"/>
  <c r="F40" i="3"/>
  <c r="H24" i="3"/>
  <c r="I24" i="3"/>
  <c r="G8" i="3"/>
  <c r="G24" i="3"/>
  <c r="F24" i="3"/>
  <c r="K8" i="3"/>
  <c r="L24" i="3"/>
  <c r="K24" i="3"/>
  <c r="O58" i="3"/>
  <c r="O4" i="3"/>
  <c r="Q3" i="3"/>
  <c r="I4" i="3"/>
  <c r="I8" i="3"/>
  <c r="F8" i="3"/>
  <c r="H8" i="3"/>
  <c r="P8" i="3"/>
  <c r="H1" i="9" a="1"/>
  <c r="H1" i="9" s="1"/>
  <c r="K2" i="9"/>
  <c r="H5" i="9"/>
  <c r="U3" i="3" l="1"/>
  <c r="W3" i="3" s="1"/>
  <c r="S3" i="3"/>
  <c r="S90" i="3" s="1"/>
  <c r="R4" i="3" a="1"/>
  <c r="R4" i="3" s="1"/>
  <c r="R74" i="3" a="1"/>
  <c r="R74" i="3" s="1"/>
  <c r="R58" i="3" a="1"/>
  <c r="R58" i="3" s="1"/>
  <c r="E12" i="9"/>
  <c r="U1" i="3"/>
  <c r="W1" i="3" s="1"/>
  <c r="R8" i="3"/>
  <c r="R2" i="3" a="1"/>
  <c r="R2" i="3" s="1"/>
  <c r="Q74" i="3"/>
  <c r="Q90" i="3"/>
  <c r="R40" i="3"/>
  <c r="Q58" i="3"/>
  <c r="Q4" i="3"/>
  <c r="K1" i="9" a="1"/>
  <c r="K1" i="9" s="1"/>
  <c r="N2" i="9"/>
  <c r="K5" i="9"/>
  <c r="I1" i="9"/>
  <c r="W58" i="3" l="1" a="1"/>
  <c r="W58" i="3" s="1"/>
  <c r="W4" i="3" a="1"/>
  <c r="W4" i="3" s="1"/>
  <c r="W90" i="3" a="1"/>
  <c r="W90" i="3" s="1"/>
  <c r="W74" i="3" a="1"/>
  <c r="W74" i="3" s="1"/>
  <c r="W2" i="3" a="1"/>
  <c r="W2" i="3" s="1"/>
  <c r="W40" i="3"/>
  <c r="W24" i="3"/>
  <c r="W8" i="3"/>
  <c r="U8" i="3"/>
  <c r="U90" i="3" a="1"/>
  <c r="U90" i="3" s="1"/>
  <c r="U58" i="3" a="1"/>
  <c r="U58" i="3" s="1"/>
  <c r="U4" i="3" a="1"/>
  <c r="U4" i="3" s="1"/>
  <c r="U74" i="3" a="1"/>
  <c r="U74" i="3" s="1"/>
  <c r="U2" i="3" a="1"/>
  <c r="U2" i="3" s="1"/>
  <c r="V3" i="3"/>
  <c r="V74" i="3" s="1"/>
  <c r="S4" i="3"/>
  <c r="S58" i="3"/>
  <c r="S74" i="3"/>
  <c r="U40" i="3"/>
  <c r="U24" i="3"/>
  <c r="H12" i="9"/>
  <c r="L1" i="9"/>
  <c r="N1" i="9" a="1"/>
  <c r="N1" i="9" s="1"/>
  <c r="Q2" i="9"/>
  <c r="T2" i="9" s="1"/>
  <c r="N5" i="9"/>
  <c r="X3" i="3" l="1"/>
  <c r="X74" i="3" s="1"/>
  <c r="Y3" i="3"/>
  <c r="Y1" i="3"/>
  <c r="Y24" i="3" s="1"/>
  <c r="V58" i="3"/>
  <c r="V4" i="3"/>
  <c r="V90" i="3"/>
  <c r="W2" i="9"/>
  <c r="T1" i="9" a="1"/>
  <c r="T1" i="9" s="1"/>
  <c r="T5" i="9"/>
  <c r="Q5" i="9"/>
  <c r="Q1" i="9" a="1"/>
  <c r="Q1" i="9" s="1"/>
  <c r="O1" i="9"/>
  <c r="Y74" i="3" l="1" a="1"/>
  <c r="Y74" i="3" s="1"/>
  <c r="Z3" i="3"/>
  <c r="Y90" i="3" a="1"/>
  <c r="Y90" i="3" s="1"/>
  <c r="Y4" i="3" a="1"/>
  <c r="Y4" i="3" s="1"/>
  <c r="AA3" i="3"/>
  <c r="X58" i="3"/>
  <c r="Y58" i="3" a="1"/>
  <c r="Y58" i="3" s="1"/>
  <c r="X4" i="3"/>
  <c r="X90" i="3"/>
  <c r="Y8" i="3"/>
  <c r="AA1" i="3"/>
  <c r="AD1" i="3" s="1"/>
  <c r="AD40" i="3" s="1"/>
  <c r="Y2" i="3" a="1"/>
  <c r="Y2" i="3" s="1"/>
  <c r="Y40" i="3"/>
  <c r="U1" i="9"/>
  <c r="W1" i="9" a="1"/>
  <c r="W1" i="9" s="1"/>
  <c r="W5" i="9"/>
  <c r="Z2" i="9"/>
  <c r="R1" i="9"/>
  <c r="AD3" i="3" l="1"/>
  <c r="AD90" i="3" s="1" a="1"/>
  <c r="AD90" i="3" s="1"/>
  <c r="AA58" i="3" a="1"/>
  <c r="AA58" i="3" s="1"/>
  <c r="Z58" i="3"/>
  <c r="Z74" i="3"/>
  <c r="Z4" i="3"/>
  <c r="Z90" i="3"/>
  <c r="AA24" i="3"/>
  <c r="AB3" i="3"/>
  <c r="AB74" i="3" s="1"/>
  <c r="AA8" i="3"/>
  <c r="AD2" i="3" a="1"/>
  <c r="AD2" i="3" s="1"/>
  <c r="AD58" i="3" a="1"/>
  <c r="AD58" i="3" s="1"/>
  <c r="AD8" i="3"/>
  <c r="AD24" i="3"/>
  <c r="AA4" i="3" a="1"/>
  <c r="AA4" i="3" s="1"/>
  <c r="AA90" i="3" a="1"/>
  <c r="AA90" i="3" s="1"/>
  <c r="AD74" i="3" a="1"/>
  <c r="AD74" i="3" s="1"/>
  <c r="AF3" i="3"/>
  <c r="AF90" i="3" s="1" a="1"/>
  <c r="AF90" i="3" s="1"/>
  <c r="AD4" i="3" a="1"/>
  <c r="AD4" i="3" s="1"/>
  <c r="AA2" i="3" a="1"/>
  <c r="AA2" i="3" s="1"/>
  <c r="AA74" i="3" a="1"/>
  <c r="AA74" i="3" s="1"/>
  <c r="AE3" i="3"/>
  <c r="AE90" i="3" s="1"/>
  <c r="AF1" i="3"/>
  <c r="AF2" i="3" s="1" a="1"/>
  <c r="AF2" i="3" s="1"/>
  <c r="AA40" i="3"/>
  <c r="T12" i="9"/>
  <c r="X1" i="9"/>
  <c r="AC2" i="9"/>
  <c r="Z1" i="9" a="1"/>
  <c r="Z1" i="9" s="1"/>
  <c r="Z5" i="9"/>
  <c r="Q12" i="9"/>
  <c r="E5" i="1" a="1"/>
  <c r="E5" i="1" s="1"/>
  <c r="F1" i="1" a="1"/>
  <c r="F1" i="1" s="1"/>
  <c r="AB90" i="3" l="1"/>
  <c r="AB58" i="3"/>
  <c r="AB4" i="3"/>
  <c r="AH1" i="3"/>
  <c r="AJ1" i="3" s="1"/>
  <c r="AJ24" i="3" s="1"/>
  <c r="AE58" i="3"/>
  <c r="AF40" i="3"/>
  <c r="AF24" i="3"/>
  <c r="AF8" i="3"/>
  <c r="AF74" i="3" a="1"/>
  <c r="AF74" i="3" s="1"/>
  <c r="AF4" i="3" a="1"/>
  <c r="AF4" i="3" s="1"/>
  <c r="AG3" i="3"/>
  <c r="AG74" i="3" s="1"/>
  <c r="AF58" i="3" a="1"/>
  <c r="AF58" i="3" s="1"/>
  <c r="AH3" i="3"/>
  <c r="AE74" i="3"/>
  <c r="AE4" i="3"/>
  <c r="W12" i="9"/>
  <c r="AA1" i="9"/>
  <c r="AF2" i="9"/>
  <c r="AC5" i="9"/>
  <c r="AC1" i="9" a="1"/>
  <c r="AC1" i="9" s="1"/>
  <c r="U12" i="9"/>
  <c r="R12" i="9"/>
  <c r="AJ3" i="3" l="1"/>
  <c r="AJ90" i="3" s="1" a="1"/>
  <c r="AJ90" i="3" s="1"/>
  <c r="AI3" i="3"/>
  <c r="AH24" i="3"/>
  <c r="AJ2" i="3" a="1"/>
  <c r="AJ2" i="3" s="1"/>
  <c r="AJ40" i="3"/>
  <c r="AH8" i="3"/>
  <c r="AH40" i="3"/>
  <c r="AJ8" i="3"/>
  <c r="AH2" i="3" a="1"/>
  <c r="AH2" i="3" s="1"/>
  <c r="AM1" i="3"/>
  <c r="AO1" i="3" s="1"/>
  <c r="AQ1" i="3" s="1"/>
  <c r="AS1" i="3" s="1"/>
  <c r="AH58" i="3" a="1"/>
  <c r="AH58" i="3" s="1"/>
  <c r="AH4" i="3" a="1"/>
  <c r="AH4" i="3" s="1"/>
  <c r="AH90" i="3" a="1"/>
  <c r="AH90" i="3" s="1"/>
  <c r="AJ4" i="3" a="1"/>
  <c r="AJ4" i="3" s="1"/>
  <c r="AJ58" i="3" a="1"/>
  <c r="AJ58" i="3" s="1"/>
  <c r="AM3" i="3"/>
  <c r="AO3" i="3" s="1"/>
  <c r="AK3" i="3"/>
  <c r="AK4" i="3" s="1"/>
  <c r="AJ74" i="3" a="1"/>
  <c r="AJ74" i="3" s="1"/>
  <c r="AH74" i="3" a="1"/>
  <c r="AH74" i="3" s="1"/>
  <c r="AG58" i="3"/>
  <c r="AG4" i="3"/>
  <c r="AG90" i="3"/>
  <c r="AD1" i="9"/>
  <c r="Z12" i="9"/>
  <c r="AF1" i="9" a="1"/>
  <c r="AF1" i="9" s="1"/>
  <c r="AF5" i="9"/>
  <c r="AI2" i="9"/>
  <c r="AL2" i="9" s="1"/>
  <c r="AO2" i="9" s="1"/>
  <c r="AR2" i="9" s="1"/>
  <c r="X12" i="9"/>
  <c r="AS24" i="3" l="1"/>
  <c r="AS40" i="3"/>
  <c r="AS2" i="3" a="1"/>
  <c r="AS2" i="3" s="1"/>
  <c r="AS8" i="3"/>
  <c r="AI4" i="3"/>
  <c r="AI74" i="3"/>
  <c r="AI58" i="3"/>
  <c r="AI90" i="3"/>
  <c r="AR1" i="9" a="1"/>
  <c r="AR1" i="9" s="1"/>
  <c r="AR5" i="9"/>
  <c r="AM40" i="3"/>
  <c r="AO90" i="3" a="1"/>
  <c r="AO90" i="3" s="1"/>
  <c r="AP3" i="3"/>
  <c r="AQ3" i="3"/>
  <c r="AQ8" i="3"/>
  <c r="AQ2" i="3" a="1"/>
  <c r="AQ2" i="3" s="1"/>
  <c r="AQ24" i="3"/>
  <c r="AQ40" i="3"/>
  <c r="AM24" i="3"/>
  <c r="AM8" i="3"/>
  <c r="AN3" i="3"/>
  <c r="AN4" i="3" s="1"/>
  <c r="AM4" i="3" a="1"/>
  <c r="AM4" i="3" s="1"/>
  <c r="AM2" i="3" a="1"/>
  <c r="AM2" i="3" s="1"/>
  <c r="AM58" i="3" a="1"/>
  <c r="AM58" i="3" s="1"/>
  <c r="AM90" i="3" a="1"/>
  <c r="AM90" i="3" s="1"/>
  <c r="AO4" i="3" a="1"/>
  <c r="AO4" i="3" s="1"/>
  <c r="AK90" i="3"/>
  <c r="AM74" i="3" a="1"/>
  <c r="AM74" i="3" s="1"/>
  <c r="AK58" i="3"/>
  <c r="AO58" i="3" a="1"/>
  <c r="AO58" i="3" s="1"/>
  <c r="AO74" i="3" a="1"/>
  <c r="AO74" i="3" s="1"/>
  <c r="AK74" i="3"/>
  <c r="AO1" i="9" a="1"/>
  <c r="AO1" i="9" s="1"/>
  <c r="AO5" i="9"/>
  <c r="AO8" i="3"/>
  <c r="AO2" i="3" a="1"/>
  <c r="AO2" i="3" s="1"/>
  <c r="AO40" i="3"/>
  <c r="AO24" i="3"/>
  <c r="AL1" i="9" a="1"/>
  <c r="AL1" i="9" s="1"/>
  <c r="AL5" i="9"/>
  <c r="AC12" i="9"/>
  <c r="AA12" i="9"/>
  <c r="AI1" i="9" a="1"/>
  <c r="AI1" i="9" s="1"/>
  <c r="AI5" i="9"/>
  <c r="AG1" i="9"/>
  <c r="AN74" i="3" l="1"/>
  <c r="AS3" i="3"/>
  <c r="AR3" i="3"/>
  <c r="AS1" i="9"/>
  <c r="AN58" i="3"/>
  <c r="AN90" i="3"/>
  <c r="AQ4" i="3" a="1"/>
  <c r="AQ4" i="3" s="1"/>
  <c r="AQ58" i="3" a="1"/>
  <c r="AQ58" i="3" s="1"/>
  <c r="AQ74" i="3" a="1"/>
  <c r="AQ74" i="3" s="1"/>
  <c r="AQ90" i="3" a="1"/>
  <c r="AQ90" i="3" s="1"/>
  <c r="AP74" i="3"/>
  <c r="AP4" i="3"/>
  <c r="AP58" i="3"/>
  <c r="AP90" i="3"/>
  <c r="AP1" i="9"/>
  <c r="AM1" i="9"/>
  <c r="AD12" i="9"/>
  <c r="AF12" i="9"/>
  <c r="AJ1" i="9"/>
  <c r="AR58" i="3" l="1"/>
  <c r="AR90" i="3"/>
  <c r="AR4" i="3"/>
  <c r="AR74" i="3"/>
  <c r="AS4" i="3" a="1"/>
  <c r="AS4" i="3" s="1"/>
  <c r="AS58" i="3" a="1"/>
  <c r="AS58" i="3" s="1"/>
  <c r="AS90" i="3" a="1"/>
  <c r="AS90" i="3" s="1"/>
  <c r="AS74" i="3" a="1"/>
  <c r="AS74" i="3" s="1"/>
  <c r="AR12" i="9"/>
  <c r="AO12" i="9"/>
  <c r="AL12" i="9"/>
  <c r="AI12" i="9"/>
  <c r="AG12" i="9"/>
  <c r="AS12" i="9" l="1"/>
  <c r="AP12" i="9"/>
  <c r="AM12" i="9"/>
  <c r="AJ12" i="9"/>
  <c r="T2" i="1" l="1"/>
  <c r="U2" i="1" l="1"/>
  <c r="V2" i="1"/>
  <c r="T1" i="1" a="1"/>
  <c r="T1" i="1" s="1"/>
  <c r="Q5" i="1"/>
  <c r="T5" i="1" a="1"/>
  <c r="T5" i="1" s="1"/>
  <c r="W2" i="1" l="1"/>
  <c r="X2" i="1" s="1"/>
  <c r="AA2" i="1" s="1"/>
  <c r="AA1" i="1" s="1"/>
  <c r="U1" i="1"/>
  <c r="V1" i="1" a="1"/>
  <c r="V1" i="1" s="1"/>
  <c r="V5" i="1" a="1"/>
  <c r="V5" i="1" s="1"/>
  <c r="AA5" i="1" l="1"/>
  <c r="X1" i="1"/>
  <c r="Z2" i="1"/>
  <c r="W1" i="1"/>
  <c r="U5" i="1"/>
  <c r="W5" i="1" l="1"/>
  <c r="Z1" i="1" a="1"/>
  <c r="Z1" i="1" s="1"/>
  <c r="AD2" i="1"/>
  <c r="AB2" i="1"/>
  <c r="AB1" i="1" s="1" a="1"/>
  <c r="AB1" i="1" s="1"/>
  <c r="AC2" i="1"/>
  <c r="AE2" i="1" s="1"/>
  <c r="Z5" i="1" a="1"/>
  <c r="Z5" i="1" s="1"/>
  <c r="X5" i="1"/>
  <c r="F5" i="1" a="1"/>
  <c r="F5" i="1" s="1"/>
  <c r="B2" i="2" a="1"/>
  <c r="B2" i="2" s="1"/>
  <c r="B1" i="2"/>
  <c r="AC1" i="1" l="1"/>
  <c r="AB5" i="1" a="1"/>
  <c r="AB5" i="1" s="1"/>
  <c r="AD5" i="1" a="1"/>
  <c r="AD5" i="1" s="1"/>
  <c r="AD1" i="1" a="1"/>
  <c r="AD1" i="1" s="1"/>
  <c r="I1" i="14"/>
  <c r="Q1" i="14"/>
  <c r="AE1" i="1"/>
  <c r="AF2" i="1"/>
  <c r="AF1" i="1" s="1"/>
  <c r="G54" i="14"/>
  <c r="H4" i="5"/>
  <c r="H4" i="4"/>
  <c r="I4" i="7"/>
  <c r="H4" i="3"/>
  <c r="M1" i="1"/>
  <c r="N2" i="4"/>
  <c r="O2" i="7"/>
  <c r="E4" i="5"/>
  <c r="E2" i="5"/>
  <c r="N4" i="4"/>
  <c r="N4" i="5"/>
  <c r="O4" i="7"/>
  <c r="E4" i="4"/>
  <c r="E2" i="4"/>
  <c r="E4" i="7"/>
  <c r="E2" i="7"/>
  <c r="N2" i="5"/>
  <c r="N2" i="3"/>
  <c r="N4" i="3"/>
  <c r="E4" i="3"/>
  <c r="E2" i="3"/>
  <c r="E1" i="1"/>
  <c r="AJ2" i="1"/>
  <c r="AI2" i="1"/>
  <c r="AI1" i="1" s="1"/>
  <c r="AH5" i="1" a="1"/>
  <c r="AH5" i="1" s="1"/>
  <c r="N5" i="1"/>
  <c r="R61" i="1" l="1"/>
  <c r="R62" i="1"/>
  <c r="AC5" i="1"/>
  <c r="I12" i="14"/>
  <c r="N54" i="14"/>
  <c r="Q12" i="14"/>
  <c r="L20" i="3"/>
  <c r="AE5" i="1"/>
  <c r="AF5" i="1"/>
  <c r="M5" i="1"/>
  <c r="I8" i="7"/>
  <c r="AI5" i="1"/>
  <c r="AJ1" i="1" a="1"/>
  <c r="AJ1" i="1" s="1"/>
  <c r="AK2" i="1"/>
  <c r="AK1" i="1" s="1"/>
  <c r="AL2" i="1"/>
  <c r="AJ5" i="1" a="1"/>
  <c r="AJ5" i="1" s="1"/>
  <c r="N12" i="9"/>
  <c r="O12" i="9"/>
  <c r="K12" i="9"/>
  <c r="I12" i="9"/>
  <c r="N53" i="14" l="1"/>
  <c r="K53" i="14"/>
  <c r="N52" i="14"/>
  <c r="K52" i="14"/>
  <c r="R28" i="1"/>
  <c r="O28" i="1"/>
  <c r="K28" i="1"/>
  <c r="G28" i="1"/>
  <c r="K54" i="14"/>
  <c r="G20" i="4"/>
  <c r="L20" i="4"/>
  <c r="I20" i="4"/>
  <c r="L64" i="4"/>
  <c r="G64" i="4"/>
  <c r="I64" i="4"/>
  <c r="I20" i="3"/>
  <c r="G20" i="3"/>
  <c r="L53" i="3"/>
  <c r="G53" i="3"/>
  <c r="I53" i="3"/>
  <c r="L36" i="3"/>
  <c r="G36" i="3"/>
  <c r="I36" i="3"/>
  <c r="O62" i="1"/>
  <c r="R65" i="1"/>
  <c r="O65" i="1"/>
  <c r="O61" i="1"/>
  <c r="R64" i="1"/>
  <c r="O64" i="1"/>
  <c r="G45" i="3"/>
  <c r="L45" i="3"/>
  <c r="I45" i="3"/>
  <c r="AL1" i="1" a="1"/>
  <c r="AL1" i="1" s="1"/>
  <c r="AM2" i="1"/>
  <c r="AL5" i="1" a="1"/>
  <c r="AL5" i="1" s="1"/>
  <c r="AK5" i="1"/>
  <c r="L12" i="9"/>
  <c r="F12" i="9"/>
  <c r="AN2" i="1" l="1"/>
  <c r="AM1" i="1"/>
  <c r="AM5" i="1" l="1"/>
  <c r="AN1" i="1"/>
  <c r="AR2" i="1" l="1"/>
  <c r="AQ2" i="1"/>
  <c r="AQ1" i="1" s="1"/>
  <c r="AP1" i="1" a="1"/>
  <c r="AP1" i="1" s="1"/>
  <c r="AP5" i="1" a="1"/>
  <c r="AP5" i="1" s="1"/>
  <c r="AN5" i="1"/>
  <c r="AQ5" i="1" l="1"/>
  <c r="AT2" i="1"/>
  <c r="AS2" i="1"/>
  <c r="AS1" i="1" s="1"/>
  <c r="AR1" i="1" a="1"/>
  <c r="AR1" i="1" s="1"/>
  <c r="AR5" i="1" a="1"/>
  <c r="AR5" i="1" s="1"/>
  <c r="AS5" i="1" l="1"/>
  <c r="AU2" i="1"/>
  <c r="AT1" i="1" a="1"/>
  <c r="AT1" i="1" s="1"/>
  <c r="AT5" i="1" a="1"/>
  <c r="AT5" i="1" s="1"/>
  <c r="AV2" i="1" l="1"/>
  <c r="AV1" i="1" s="1"/>
  <c r="AU1" i="1"/>
  <c r="AU5" i="1" l="1"/>
  <c r="AV5" i="1"/>
  <c r="T32" i="7" l="1"/>
  <c r="S31" i="4" l="1"/>
  <c r="S43" i="4" s="1"/>
  <c r="S104" i="3" l="1"/>
  <c r="S88" i="3"/>
  <c r="S26" i="5" l="1"/>
  <c r="S72" i="3"/>
  <c r="R55" i="1" l="1"/>
  <c r="O55" i="1"/>
  <c r="G55" i="1" l="1"/>
  <c r="K55" i="1"/>
  <c r="S27" i="5" l="1"/>
  <c r="X72" i="1" l="1"/>
  <c r="X59" i="1"/>
  <c r="R67" i="1" l="1"/>
  <c r="R66" i="1"/>
  <c r="R63" i="1"/>
  <c r="R68" i="1" l="1"/>
  <c r="K65" i="1" l="1"/>
  <c r="K61" i="1"/>
  <c r="K64" i="1"/>
  <c r="K62" i="1"/>
  <c r="AR56" i="4" l="1"/>
  <c r="AP56" i="4"/>
  <c r="AR21" i="7"/>
  <c r="AR23" i="7" s="1"/>
  <c r="AN56" i="4"/>
  <c r="AL56" i="4"/>
  <c r="AT21" i="7"/>
  <c r="AT23" i="7" s="1"/>
  <c r="AT30" i="7"/>
  <c r="AT32" i="7" s="1"/>
  <c r="AP31" i="4"/>
  <c r="AL12" i="4" l="1"/>
  <c r="AP12" i="4"/>
  <c r="AR31" i="4"/>
  <c r="AR12" i="4"/>
  <c r="AL31" i="4"/>
  <c r="AN12" i="4"/>
  <c r="AN31" i="4"/>
  <c r="AP26" i="5" l="1"/>
  <c r="AL26" i="5"/>
  <c r="AN27" i="5"/>
  <c r="AN26" i="5"/>
  <c r="AL27" i="5"/>
  <c r="AP27" i="5"/>
  <c r="AM22" i="3" l="1"/>
  <c r="AS22" i="3"/>
  <c r="AQ22" i="3"/>
  <c r="AO22" i="3"/>
  <c r="AR26" i="5"/>
  <c r="AR27" i="5"/>
  <c r="AN16" i="5"/>
  <c r="AN15" i="5"/>
  <c r="AR15" i="5"/>
  <c r="AR16" i="5"/>
  <c r="AL16" i="5"/>
  <c r="AL15" i="5"/>
  <c r="AP15" i="5"/>
  <c r="AP16" i="5"/>
  <c r="O63" i="1" l="1"/>
  <c r="K63" i="1"/>
  <c r="O67" i="1"/>
  <c r="K67" i="1"/>
  <c r="O66" i="1"/>
  <c r="K66" i="1"/>
  <c r="O68" i="1" l="1"/>
  <c r="K68" i="1"/>
  <c r="Q32" i="7" l="1"/>
  <c r="AC30" i="7"/>
  <c r="AC32" i="7" s="1"/>
  <c r="AE30" i="7"/>
  <c r="AE32" i="7" s="1"/>
  <c r="AJ30" i="7"/>
  <c r="AJ32" i="7" s="1"/>
  <c r="P104" i="3"/>
  <c r="V30" i="7"/>
  <c r="V32" i="7" s="1"/>
  <c r="G64" i="1"/>
  <c r="S21" i="7"/>
  <c r="S23" i="7" s="1"/>
  <c r="R104" i="3"/>
  <c r="AH30" i="7"/>
  <c r="AH32" i="7" s="1"/>
  <c r="AP21" i="7"/>
  <c r="AP23" i="7" s="1"/>
  <c r="AA30" i="7"/>
  <c r="AA32" i="7" s="1"/>
  <c r="G65" i="1"/>
  <c r="W30" i="7"/>
  <c r="W32" i="7" s="1"/>
  <c r="AI30" i="7"/>
  <c r="AI32" i="7" s="1"/>
  <c r="AG30" i="7"/>
  <c r="AG32" i="7" s="1"/>
  <c r="AB30" i="7"/>
  <c r="AB32" i="7" s="1"/>
  <c r="AI21" i="7"/>
  <c r="AI23" i="7" s="1"/>
  <c r="G62" i="1"/>
  <c r="AK30" i="7"/>
  <c r="AK32" i="7" s="1"/>
  <c r="AK21" i="7"/>
  <c r="AK23" i="7" s="1"/>
  <c r="S32" i="7"/>
  <c r="G61" i="1"/>
  <c r="AL30" i="7"/>
  <c r="AL32" i="7" s="1"/>
  <c r="AF30" i="7"/>
  <c r="AF32" i="7" s="1"/>
  <c r="Z30" i="7"/>
  <c r="Z32" i="7" s="1"/>
  <c r="AH31" i="4" l="1"/>
  <c r="V21" i="7"/>
  <c r="V23" i="7" s="1"/>
  <c r="O31" i="4"/>
  <c r="J32" i="7"/>
  <c r="K12" i="4"/>
  <c r="N12" i="4"/>
  <c r="Q31" i="4"/>
  <c r="AI12" i="4"/>
  <c r="R12" i="4"/>
  <c r="R24" i="4" s="1"/>
  <c r="P32" i="7"/>
  <c r="AE93" i="4"/>
  <c r="AJ31" i="4"/>
  <c r="AA12" i="4"/>
  <c r="Q93" i="4"/>
  <c r="AI31" i="4"/>
  <c r="AI43" i="4" s="1"/>
  <c r="AG12" i="4"/>
  <c r="AE21" i="7"/>
  <c r="AE23" i="7" s="1"/>
  <c r="L23" i="7"/>
  <c r="AA31" i="4"/>
  <c r="AA43" i="4" s="1"/>
  <c r="Y93" i="4"/>
  <c r="Q21" i="7"/>
  <c r="Q23" i="7" s="1"/>
  <c r="AB21" i="7"/>
  <c r="AB23" i="7" s="1"/>
  <c r="P72" i="3"/>
  <c r="P88" i="3"/>
  <c r="W31" i="4"/>
  <c r="W43" i="4" s="1"/>
  <c r="E93" i="4"/>
  <c r="AG21" i="7"/>
  <c r="AG23" i="7" s="1"/>
  <c r="V31" i="4"/>
  <c r="V43" i="4" s="1"/>
  <c r="Z93" i="4"/>
  <c r="N24" i="4"/>
  <c r="R93" i="4"/>
  <c r="O32" i="7"/>
  <c r="I12" i="3"/>
  <c r="L12" i="3"/>
  <c r="G12" i="3"/>
  <c r="F23" i="7"/>
  <c r="G54" i="3"/>
  <c r="I54" i="3"/>
  <c r="L54" i="3"/>
  <c r="F88" i="3"/>
  <c r="W88" i="3"/>
  <c r="I62" i="4"/>
  <c r="L62" i="4"/>
  <c r="G62" i="4"/>
  <c r="R38" i="3"/>
  <c r="L18" i="4"/>
  <c r="I18" i="4"/>
  <c r="G18" i="4"/>
  <c r="I93" i="4"/>
  <c r="I51" i="4"/>
  <c r="G51" i="4"/>
  <c r="L51" i="4"/>
  <c r="I34" i="3"/>
  <c r="L34" i="3"/>
  <c r="G34" i="3"/>
  <c r="L9" i="3"/>
  <c r="G9" i="3"/>
  <c r="I9" i="3"/>
  <c r="L13" i="3"/>
  <c r="G13" i="3"/>
  <c r="I13" i="3"/>
  <c r="L32" i="7"/>
  <c r="AD22" i="3"/>
  <c r="E31" i="4"/>
  <c r="E43" i="4" s="1"/>
  <c r="I32" i="7"/>
  <c r="AD93" i="4"/>
  <c r="L33" i="3"/>
  <c r="I33" i="3"/>
  <c r="G33" i="3"/>
  <c r="V93" i="4"/>
  <c r="Z21" i="7"/>
  <c r="Z23" i="7" s="1"/>
  <c r="E68" i="4"/>
  <c r="I65" i="4"/>
  <c r="L65" i="4"/>
  <c r="G65" i="4"/>
  <c r="O93" i="4"/>
  <c r="AF93" i="4"/>
  <c r="K68" i="4"/>
  <c r="G17" i="4"/>
  <c r="I17" i="4"/>
  <c r="L17" i="4"/>
  <c r="L53" i="4"/>
  <c r="I53" i="4"/>
  <c r="G53" i="4"/>
  <c r="E55" i="3"/>
  <c r="N55" i="3"/>
  <c r="P31" i="4"/>
  <c r="P43" i="4" s="1"/>
  <c r="U12" i="4"/>
  <c r="U24" i="4" s="1"/>
  <c r="AH22" i="3"/>
  <c r="R31" i="4"/>
  <c r="R43" i="4" s="1"/>
  <c r="F68" i="4"/>
  <c r="L43" i="3"/>
  <c r="I43" i="3"/>
  <c r="G43" i="3"/>
  <c r="W104" i="3"/>
  <c r="L61" i="4"/>
  <c r="G61" i="4"/>
  <c r="I61" i="4"/>
  <c r="L14" i="3"/>
  <c r="G14" i="3"/>
  <c r="I14" i="3"/>
  <c r="N31" i="4"/>
  <c r="N43" i="4" s="1"/>
  <c r="I35" i="3"/>
  <c r="L35" i="3"/>
  <c r="G35" i="3"/>
  <c r="P12" i="4"/>
  <c r="P24" i="4" s="1"/>
  <c r="G29" i="3"/>
  <c r="L29" i="3"/>
  <c r="I29" i="3"/>
  <c r="G19" i="3"/>
  <c r="L19" i="3"/>
  <c r="I19" i="3"/>
  <c r="G21" i="4"/>
  <c r="I21" i="4"/>
  <c r="L21" i="4"/>
  <c r="AH43" i="4"/>
  <c r="I31" i="4"/>
  <c r="I43" i="4" s="1"/>
  <c r="I67" i="4"/>
  <c r="G67" i="4"/>
  <c r="L67" i="4"/>
  <c r="G49" i="3"/>
  <c r="L49" i="3"/>
  <c r="I49" i="3"/>
  <c r="AG93" i="4"/>
  <c r="I54" i="4"/>
  <c r="L54" i="4"/>
  <c r="G54" i="4"/>
  <c r="AI68" i="4"/>
  <c r="G11" i="4"/>
  <c r="L11" i="4"/>
  <c r="I11" i="4"/>
  <c r="I49" i="4"/>
  <c r="G49" i="4"/>
  <c r="L49" i="4"/>
  <c r="I23" i="7"/>
  <c r="F104" i="3"/>
  <c r="F31" i="4"/>
  <c r="F43" i="4" s="1"/>
  <c r="F93" i="4"/>
  <c r="I66" i="4"/>
  <c r="G66" i="4"/>
  <c r="L66" i="4"/>
  <c r="I30" i="3"/>
  <c r="G30" i="3"/>
  <c r="L30" i="3"/>
  <c r="G13" i="4"/>
  <c r="E12" i="4"/>
  <c r="L13" i="4"/>
  <c r="I13" i="4"/>
  <c r="K38" i="3"/>
  <c r="U38" i="3"/>
  <c r="R72" i="3"/>
  <c r="X31" i="4"/>
  <c r="X43" i="4" s="1"/>
  <c r="J18" i="7"/>
  <c r="G18" i="7"/>
  <c r="M18" i="7"/>
  <c r="O72" i="3"/>
  <c r="H72" i="3"/>
  <c r="L15" i="3"/>
  <c r="I15" i="3"/>
  <c r="G15" i="3"/>
  <c r="U68" i="4"/>
  <c r="W93" i="4"/>
  <c r="U31" i="4"/>
  <c r="U43" i="4" s="1"/>
  <c r="K55" i="3"/>
  <c r="U55" i="3"/>
  <c r="P22" i="3"/>
  <c r="H22" i="3"/>
  <c r="U93" i="4"/>
  <c r="G25" i="3"/>
  <c r="L25" i="3"/>
  <c r="I25" i="3"/>
  <c r="G67" i="1"/>
  <c r="K22" i="3"/>
  <c r="U22" i="3"/>
  <c r="E32" i="7"/>
  <c r="K24" i="4"/>
  <c r="W12" i="4"/>
  <c r="W24" i="4" s="1"/>
  <c r="J19" i="7"/>
  <c r="M19" i="7"/>
  <c r="G19" i="7"/>
  <c r="G47" i="3"/>
  <c r="I47" i="3"/>
  <c r="L47" i="3"/>
  <c r="L57" i="4"/>
  <c r="G57" i="4"/>
  <c r="I57" i="4"/>
  <c r="G51" i="3"/>
  <c r="I51" i="3"/>
  <c r="L51" i="3"/>
  <c r="G52" i="3"/>
  <c r="I52" i="3"/>
  <c r="L52" i="3"/>
  <c r="G19" i="4"/>
  <c r="L19" i="4"/>
  <c r="I19" i="4"/>
  <c r="W68" i="4"/>
  <c r="F32" i="7"/>
  <c r="K93" i="4"/>
  <c r="AC93" i="4"/>
  <c r="X93" i="4"/>
  <c r="L23" i="4"/>
  <c r="G23" i="4"/>
  <c r="I23" i="4"/>
  <c r="G15" i="4"/>
  <c r="L15" i="4"/>
  <c r="I15" i="4"/>
  <c r="R22" i="3"/>
  <c r="W55" i="3"/>
  <c r="G59" i="4"/>
  <c r="I59" i="4"/>
  <c r="L59" i="4"/>
  <c r="X21" i="7"/>
  <c r="X23" i="7" s="1"/>
  <c r="Y12" i="4"/>
  <c r="J20" i="7"/>
  <c r="G20" i="7"/>
  <c r="M20" i="7"/>
  <c r="O43" i="4"/>
  <c r="I10" i="4"/>
  <c r="L10" i="4"/>
  <c r="G10" i="4"/>
  <c r="X30" i="7"/>
  <c r="X32" i="7" s="1"/>
  <c r="G37" i="3"/>
  <c r="L37" i="3"/>
  <c r="I37" i="3"/>
  <c r="H12" i="4"/>
  <c r="H24" i="4" s="1"/>
  <c r="AI93" i="4"/>
  <c r="L63" i="4"/>
  <c r="I63" i="4"/>
  <c r="G63" i="4"/>
  <c r="I48" i="3"/>
  <c r="L48" i="3"/>
  <c r="G48" i="3"/>
  <c r="L16" i="4"/>
  <c r="I16" i="4"/>
  <c r="G16" i="4"/>
  <c r="Q43" i="4"/>
  <c r="G66" i="1"/>
  <c r="F22" i="3"/>
  <c r="W22" i="3"/>
  <c r="F12" i="4"/>
  <c r="F24" i="4" s="1"/>
  <c r="P68" i="4"/>
  <c r="G14" i="4"/>
  <c r="L14" i="4"/>
  <c r="I14" i="4"/>
  <c r="AD31" i="4"/>
  <c r="AD43" i="4" s="1"/>
  <c r="I18" i="3"/>
  <c r="L18" i="3"/>
  <c r="G18" i="3"/>
  <c r="AC31" i="4"/>
  <c r="AC43" i="4" s="1"/>
  <c r="G22" i="7"/>
  <c r="M22" i="7"/>
  <c r="E23" i="7"/>
  <c r="J22" i="7"/>
  <c r="I21" i="3"/>
  <c r="L21" i="3"/>
  <c r="G21" i="3"/>
  <c r="G42" i="3"/>
  <c r="L42" i="3"/>
  <c r="I42" i="3"/>
  <c r="R68" i="4"/>
  <c r="Y31" i="4"/>
  <c r="Y43" i="4" s="1"/>
  <c r="R32" i="7"/>
  <c r="N22" i="3"/>
  <c r="E22" i="3"/>
  <c r="O88" i="3"/>
  <c r="H88" i="3"/>
  <c r="P38" i="3"/>
  <c r="H38" i="3"/>
  <c r="Y30" i="7"/>
  <c r="Y32" i="7" s="1"/>
  <c r="I31" i="3"/>
  <c r="L31" i="3"/>
  <c r="G31" i="3"/>
  <c r="M21" i="7"/>
  <c r="J21" i="7"/>
  <c r="G21" i="7"/>
  <c r="O104" i="3"/>
  <c r="H31" i="4"/>
  <c r="H43" i="4" s="1"/>
  <c r="AC12" i="4"/>
  <c r="H93" i="4"/>
  <c r="O21" i="7"/>
  <c r="O23" i="7" s="1"/>
  <c r="R88" i="3"/>
  <c r="I55" i="4"/>
  <c r="G55" i="4"/>
  <c r="L55" i="4"/>
  <c r="AG31" i="4"/>
  <c r="AG43" i="4" s="1"/>
  <c r="R55" i="3"/>
  <c r="L50" i="4"/>
  <c r="G50" i="4"/>
  <c r="I50" i="4"/>
  <c r="I50" i="3"/>
  <c r="G50" i="3"/>
  <c r="L50" i="3"/>
  <c r="L9" i="4"/>
  <c r="I9" i="4"/>
  <c r="G9" i="4"/>
  <c r="N68" i="4"/>
  <c r="G17" i="3"/>
  <c r="L17" i="3"/>
  <c r="I17" i="3"/>
  <c r="Z31" i="4"/>
  <c r="Z43" i="4" s="1"/>
  <c r="L52" i="4"/>
  <c r="G52" i="4"/>
  <c r="I52" i="4"/>
  <c r="L22" i="4"/>
  <c r="I22" i="4"/>
  <c r="G22" i="4"/>
  <c r="AE31" i="4"/>
  <c r="AE43" i="4" s="1"/>
  <c r="G46" i="3"/>
  <c r="I46" i="3"/>
  <c r="L46" i="3"/>
  <c r="K31" i="4"/>
  <c r="K43" i="4" s="1"/>
  <c r="N93" i="4"/>
  <c r="G63" i="1"/>
  <c r="E38" i="3"/>
  <c r="N38" i="3"/>
  <c r="AH93" i="4"/>
  <c r="F55" i="3"/>
  <c r="P93" i="4"/>
  <c r="L14" i="5"/>
  <c r="I14" i="5"/>
  <c r="G14" i="5"/>
  <c r="L60" i="4"/>
  <c r="I60" i="4"/>
  <c r="G60" i="4"/>
  <c r="F72" i="3"/>
  <c r="W72" i="3"/>
  <c r="F38" i="3"/>
  <c r="W38" i="3"/>
  <c r="H55" i="3"/>
  <c r="P55" i="3"/>
  <c r="AA93" i="4"/>
  <c r="L28" i="3"/>
  <c r="G28" i="3"/>
  <c r="I28" i="3"/>
  <c r="H68" i="4"/>
  <c r="AE12" i="4"/>
  <c r="L26" i="3"/>
  <c r="G26" i="3"/>
  <c r="I26" i="3"/>
  <c r="AN21" i="7"/>
  <c r="AN23" i="7" s="1"/>
  <c r="H104" i="3"/>
  <c r="I58" i="4"/>
  <c r="L58" i="4"/>
  <c r="G58" i="4"/>
  <c r="L16" i="3"/>
  <c r="G16" i="3"/>
  <c r="I16" i="3"/>
  <c r="AF31" i="4"/>
  <c r="AF43" i="4" s="1"/>
  <c r="G10" i="3"/>
  <c r="I10" i="3"/>
  <c r="L10" i="3"/>
  <c r="L32" i="3"/>
  <c r="I32" i="3"/>
  <c r="G32" i="3"/>
  <c r="R15" i="5"/>
  <c r="U88" i="3"/>
  <c r="AI24" i="4" l="1"/>
  <c r="AJ43" i="4"/>
  <c r="R16" i="5"/>
  <c r="P27" i="5"/>
  <c r="R27" i="5"/>
  <c r="AJ93" i="4"/>
  <c r="R26" i="5"/>
  <c r="I44" i="3"/>
  <c r="L44" i="3"/>
  <c r="G44" i="3"/>
  <c r="L11" i="3"/>
  <c r="G11" i="3"/>
  <c r="I11" i="3"/>
  <c r="L56" i="4"/>
  <c r="G56" i="4"/>
  <c r="I56" i="4"/>
  <c r="P26" i="5"/>
  <c r="E24" i="4"/>
  <c r="L12" i="4"/>
  <c r="G12" i="4"/>
  <c r="I12" i="4"/>
  <c r="G27" i="3"/>
  <c r="L27" i="3"/>
  <c r="I27" i="3"/>
  <c r="U104" i="3"/>
  <c r="H26" i="5" l="1"/>
  <c r="H27" i="5"/>
  <c r="I9" i="5"/>
  <c r="E15" i="5"/>
  <c r="E16" i="5"/>
  <c r="I12" i="5"/>
  <c r="Q26" i="5"/>
  <c r="Q27" i="5"/>
  <c r="L13" i="5"/>
  <c r="I13" i="5"/>
  <c r="G13" i="5"/>
  <c r="K27" i="5"/>
  <c r="K26" i="5"/>
  <c r="I11" i="5"/>
  <c r="H16" i="5"/>
  <c r="H15" i="5"/>
  <c r="I15" i="5" s="1"/>
  <c r="N16" i="5"/>
  <c r="N15" i="5"/>
  <c r="N27" i="5"/>
  <c r="N26" i="5"/>
  <c r="P15" i="5"/>
  <c r="P16" i="5"/>
  <c r="E27" i="5"/>
  <c r="E26" i="5"/>
  <c r="I10" i="5"/>
  <c r="O26" i="5"/>
  <c r="O27" i="5"/>
  <c r="V104" i="3"/>
  <c r="V88" i="3"/>
  <c r="AH26" i="5" l="1"/>
  <c r="AH27" i="5"/>
  <c r="L10" i="5"/>
  <c r="U27" i="5"/>
  <c r="U26" i="5"/>
  <c r="AF27" i="5"/>
  <c r="AF26" i="5"/>
  <c r="V27" i="5"/>
  <c r="V26" i="5"/>
  <c r="AD27" i="5"/>
  <c r="AD26" i="5"/>
  <c r="L11" i="5"/>
  <c r="L12" i="5"/>
  <c r="I88" i="3"/>
  <c r="X88" i="3"/>
  <c r="X104" i="3"/>
  <c r="I104" i="3"/>
  <c r="U16" i="5" l="1"/>
  <c r="U15" i="5"/>
  <c r="Q88" i="3"/>
  <c r="K88" i="3"/>
  <c r="Q104" i="3"/>
  <c r="K104" i="3"/>
  <c r="K15" i="5"/>
  <c r="L15" i="5" s="1"/>
  <c r="K16" i="5"/>
  <c r="L9" i="5"/>
  <c r="Z104" i="3"/>
  <c r="Z88" i="3"/>
  <c r="AB88" i="3"/>
  <c r="AB104" i="3"/>
  <c r="U72" i="3"/>
  <c r="Y26" i="5" l="1"/>
  <c r="AA24" i="4"/>
  <c r="G12" i="5"/>
  <c r="G11" i="5"/>
  <c r="G32" i="14"/>
  <c r="G68" i="1"/>
  <c r="AG68" i="4"/>
  <c r="Q72" i="3"/>
  <c r="K72" i="3"/>
  <c r="G10" i="5"/>
  <c r="G33" i="14"/>
  <c r="AE104" i="3"/>
  <c r="AA88" i="3"/>
  <c r="AD38" i="3"/>
  <c r="Y88" i="3"/>
  <c r="AA38" i="3"/>
  <c r="AA55" i="3"/>
  <c r="AJ88" i="3"/>
  <c r="AJ72" i="3"/>
  <c r="AI88" i="3"/>
  <c r="AF38" i="3"/>
  <c r="Y38" i="3"/>
  <c r="AH55" i="3"/>
  <c r="AG104" i="3"/>
  <c r="AQ104" i="3"/>
  <c r="AE88" i="3"/>
  <c r="AQ88" i="3"/>
  <c r="AK104" i="3"/>
  <c r="AD88" i="3"/>
  <c r="AD72" i="3"/>
  <c r="AK88" i="3"/>
  <c r="AO88" i="3"/>
  <c r="AO38" i="3"/>
  <c r="AH38" i="3"/>
  <c r="AG88" i="3"/>
  <c r="AI72" i="3"/>
  <c r="AD55" i="3"/>
  <c r="AM55" i="3"/>
  <c r="AJ55" i="3"/>
  <c r="AM104" i="3"/>
  <c r="AF55" i="3"/>
  <c r="AJ38" i="3"/>
  <c r="AJ104" i="3"/>
  <c r="AO55" i="3"/>
  <c r="AQ55" i="3"/>
  <c r="AM38" i="3"/>
  <c r="AM88" i="3"/>
  <c r="AD104" i="3"/>
  <c r="AS104" i="3"/>
  <c r="AS88" i="3"/>
  <c r="AO104" i="3"/>
  <c r="AQ38" i="3"/>
  <c r="AI104" i="3"/>
  <c r="Z71" i="1"/>
  <c r="AQ71" i="1"/>
  <c r="AS71" i="1"/>
  <c r="AV71" i="1"/>
  <c r="AP70" i="1"/>
  <c r="AE72" i="3"/>
  <c r="AK72" i="3"/>
  <c r="V72" i="3"/>
  <c r="AD71" i="1"/>
  <c r="AJ71" i="1"/>
  <c r="AL71" i="1"/>
  <c r="AK71" i="1"/>
  <c r="AH71" i="1"/>
  <c r="AA71" i="1"/>
  <c r="AE71" i="1"/>
  <c r="AN71" i="1"/>
  <c r="Z70" i="1"/>
  <c r="AA70" i="1"/>
  <c r="Z72" i="3"/>
  <c r="AF22" i="3"/>
  <c r="AJ22" i="3"/>
  <c r="AI70" i="1"/>
  <c r="AE70" i="1"/>
  <c r="AD70" i="1"/>
  <c r="AM70" i="1"/>
  <c r="AL70" i="1"/>
  <c r="AH70" i="1"/>
  <c r="AK70" i="1"/>
  <c r="AE24" i="4" l="1"/>
  <c r="AC68" i="4"/>
  <c r="Y27" i="5"/>
  <c r="AA68" i="4"/>
  <c r="O31" i="1"/>
  <c r="R31" i="1"/>
  <c r="AP68" i="4"/>
  <c r="AP24" i="4"/>
  <c r="G31" i="1"/>
  <c r="K31" i="1"/>
  <c r="AG16" i="5"/>
  <c r="AG15" i="5"/>
  <c r="AI16" i="5"/>
  <c r="AI15" i="5"/>
  <c r="AS55" i="3"/>
  <c r="AG24" i="4"/>
  <c r="AR93" i="4"/>
  <c r="AR43" i="4"/>
  <c r="AA22" i="3"/>
  <c r="E104" i="3"/>
  <c r="N104" i="3"/>
  <c r="AC24" i="4"/>
  <c r="AE15" i="5"/>
  <c r="AE16" i="5"/>
  <c r="AA16" i="5"/>
  <c r="AA15" i="5"/>
  <c r="E72" i="3"/>
  <c r="N72" i="3"/>
  <c r="AN68" i="4"/>
  <c r="AN24" i="4"/>
  <c r="N88" i="3"/>
  <c r="E88" i="3"/>
  <c r="F15" i="5"/>
  <c r="G15" i="5" s="1"/>
  <c r="F16" i="5"/>
  <c r="G9" i="5"/>
  <c r="AE26" i="5"/>
  <c r="AE27" i="5"/>
  <c r="W15" i="5"/>
  <c r="W16" i="5"/>
  <c r="AJ27" i="5"/>
  <c r="AJ26" i="5"/>
  <c r="AL24" i="4"/>
  <c r="AL68" i="4"/>
  <c r="Y68" i="4"/>
  <c r="O54" i="1"/>
  <c r="R54" i="1"/>
  <c r="AA27" i="5"/>
  <c r="AA26" i="5"/>
  <c r="AB72" i="3"/>
  <c r="K32" i="14"/>
  <c r="N32" i="14"/>
  <c r="K30" i="1"/>
  <c r="G30" i="1"/>
  <c r="O53" i="1"/>
  <c r="R53" i="1"/>
  <c r="I26" i="5"/>
  <c r="AS38" i="3"/>
  <c r="G53" i="1"/>
  <c r="K53" i="1"/>
  <c r="I72" i="3"/>
  <c r="X72" i="3"/>
  <c r="F71" i="1"/>
  <c r="AB71" i="1"/>
  <c r="R30" i="1"/>
  <c r="O30" i="1"/>
  <c r="AC27" i="5"/>
  <c r="AC26" i="5"/>
  <c r="AC15" i="5"/>
  <c r="AG26" i="5"/>
  <c r="AG27" i="5"/>
  <c r="K33" i="14"/>
  <c r="N33" i="14"/>
  <c r="AB70" i="1"/>
  <c r="F70" i="1"/>
  <c r="AR68" i="4"/>
  <c r="AR24" i="4"/>
  <c r="AF71" i="1"/>
  <c r="AE68" i="4"/>
  <c r="AF70" i="1"/>
  <c r="AI27" i="5"/>
  <c r="AI26" i="5"/>
  <c r="Z27" i="5"/>
  <c r="Z26" i="5"/>
  <c r="Y16" i="5"/>
  <c r="Y15" i="5"/>
  <c r="Y24" i="4"/>
  <c r="X26" i="5"/>
  <c r="G54" i="1"/>
  <c r="K54" i="1"/>
  <c r="AG72" i="3"/>
  <c r="AF104" i="3"/>
  <c r="Y104" i="3"/>
  <c r="Y55" i="3"/>
  <c r="AH104" i="3"/>
  <c r="AF88" i="3"/>
  <c r="AF72" i="3"/>
  <c r="AA72" i="3"/>
  <c r="AA104" i="3"/>
  <c r="AH88" i="3"/>
  <c r="AH72" i="3"/>
  <c r="I27" i="5" l="1"/>
  <c r="X27" i="5"/>
  <c r="AS26" i="5"/>
  <c r="AS27" i="5"/>
  <c r="AQ27" i="5"/>
  <c r="AQ26" i="5"/>
  <c r="W27" i="5"/>
  <c r="W26" i="5"/>
  <c r="Y22" i="3"/>
  <c r="F26" i="5"/>
  <c r="F27" i="5"/>
  <c r="AM27" i="5"/>
  <c r="AM26" i="5"/>
  <c r="AO26" i="5"/>
  <c r="AO27" i="5"/>
  <c r="Y72" i="3"/>
  <c r="AT70" i="1"/>
  <c r="AU70" i="1"/>
  <c r="AS70" i="1"/>
  <c r="AQ70" i="1"/>
  <c r="AV70" i="1"/>
  <c r="AP71" i="1" l="1"/>
  <c r="AU71" i="1"/>
  <c r="AR71" i="1"/>
  <c r="AT71" i="1"/>
  <c r="AQ72" i="1"/>
  <c r="AM71" i="1"/>
  <c r="AS72" i="1"/>
  <c r="AV72" i="1"/>
  <c r="AI71" i="1"/>
  <c r="AA72" i="1"/>
  <c r="Z72" i="1"/>
  <c r="AN70" i="1"/>
  <c r="AC16" i="5"/>
  <c r="AK72" i="1"/>
  <c r="AH72" i="1"/>
  <c r="AL72" i="1"/>
  <c r="AD72" i="1"/>
  <c r="AE72" i="1"/>
  <c r="AF72" i="1"/>
  <c r="AS72" i="3" l="1"/>
  <c r="AJ70" i="1"/>
  <c r="J71" i="1"/>
  <c r="AC71" i="1"/>
  <c r="AR70" i="1"/>
  <c r="AC70" i="1"/>
  <c r="J70" i="1"/>
  <c r="AB72" i="1"/>
  <c r="F72" i="1"/>
  <c r="AP72" i="1"/>
  <c r="AU72" i="1"/>
  <c r="AR72" i="1"/>
  <c r="AT72" i="1"/>
  <c r="AJ72" i="1"/>
  <c r="AN72" i="1"/>
  <c r="AI72" i="1"/>
  <c r="AM72" i="1"/>
  <c r="AC72" i="1" l="1"/>
  <c r="J72" i="1"/>
  <c r="G38" i="14" l="1"/>
  <c r="G38" i="1" l="1"/>
  <c r="K38" i="1"/>
  <c r="R7" i="1" l="1"/>
  <c r="K21" i="14"/>
  <c r="N21" i="14"/>
  <c r="K45" i="14"/>
  <c r="N45" i="14"/>
  <c r="G11" i="7"/>
  <c r="K22" i="14"/>
  <c r="N22" i="14"/>
  <c r="P12" i="7"/>
  <c r="P14" i="7" s="1"/>
  <c r="R17" i="1"/>
  <c r="O51" i="1"/>
  <c r="R51" i="1"/>
  <c r="K14" i="14"/>
  <c r="N14" i="14"/>
  <c r="K16" i="14"/>
  <c r="N16" i="14"/>
  <c r="R18" i="1"/>
  <c r="O18" i="1"/>
  <c r="O46" i="1"/>
  <c r="R46" i="1"/>
  <c r="K50" i="14"/>
  <c r="N50" i="14"/>
  <c r="G9" i="7"/>
  <c r="R11" i="1"/>
  <c r="O11" i="1"/>
  <c r="O7" i="1"/>
  <c r="O17" i="1"/>
  <c r="G10" i="7"/>
  <c r="G16" i="14"/>
  <c r="K38" i="14"/>
  <c r="N38" i="14"/>
  <c r="K11" i="7"/>
  <c r="M11" i="7"/>
  <c r="G50" i="14"/>
  <c r="G45" i="14"/>
  <c r="G22" i="14"/>
  <c r="O38" i="1"/>
  <c r="R38" i="1"/>
  <c r="K10" i="7"/>
  <c r="M10" i="7"/>
  <c r="X70" i="1"/>
  <c r="X71" i="1"/>
  <c r="T12" i="7"/>
  <c r="T14" i="7" s="1"/>
  <c r="R47" i="1" l="1"/>
  <c r="O47" i="1"/>
  <c r="G46" i="1"/>
  <c r="K46" i="1"/>
  <c r="G49" i="14"/>
  <c r="K51" i="1"/>
  <c r="G51" i="1"/>
  <c r="O50" i="1"/>
  <c r="R50" i="1"/>
  <c r="G36" i="14"/>
  <c r="R49" i="1"/>
  <c r="O49" i="1"/>
  <c r="G14" i="14"/>
  <c r="G46" i="14"/>
  <c r="G44" i="14"/>
  <c r="K17" i="14"/>
  <c r="N17" i="14"/>
  <c r="G11" i="1"/>
  <c r="K11" i="1"/>
  <c r="O12" i="1"/>
  <c r="I12" i="7"/>
  <c r="I14" i="7" s="1"/>
  <c r="K48" i="14"/>
  <c r="N48" i="14"/>
  <c r="N31" i="14"/>
  <c r="G21" i="14"/>
  <c r="N44" i="14"/>
  <c r="K44" i="14"/>
  <c r="N36" i="14"/>
  <c r="K36" i="14"/>
  <c r="N49" i="14"/>
  <c r="K49" i="14"/>
  <c r="I70" i="1"/>
  <c r="U70" i="1"/>
  <c r="R8" i="1"/>
  <c r="W70" i="1"/>
  <c r="Q70" i="1"/>
  <c r="O45" i="1"/>
  <c r="R45" i="1"/>
  <c r="R12" i="1"/>
  <c r="O8" i="1"/>
  <c r="R35" i="1"/>
  <c r="O35" i="1"/>
  <c r="G17" i="14"/>
  <c r="G18" i="1"/>
  <c r="K18" i="1"/>
  <c r="K46" i="14"/>
  <c r="N46" i="14"/>
  <c r="K9" i="7"/>
  <c r="M9" i="7"/>
  <c r="V70" i="1"/>
  <c r="O19" i="1" l="1"/>
  <c r="G37" i="14"/>
  <c r="K17" i="1"/>
  <c r="G17" i="1"/>
  <c r="G18" i="14"/>
  <c r="W71" i="1"/>
  <c r="Q71" i="1"/>
  <c r="R27" i="1"/>
  <c r="O27" i="1"/>
  <c r="K13" i="14"/>
  <c r="N13" i="14"/>
  <c r="K18" i="14"/>
  <c r="N18" i="14"/>
  <c r="G13" i="14"/>
  <c r="R19" i="1"/>
  <c r="G47" i="1"/>
  <c r="K47" i="1"/>
  <c r="K30" i="14"/>
  <c r="N30" i="14"/>
  <c r="N47" i="14"/>
  <c r="K47" i="14"/>
  <c r="G55" i="14"/>
  <c r="O56" i="1"/>
  <c r="R56" i="1"/>
  <c r="I71" i="1"/>
  <c r="U71" i="1"/>
  <c r="R48" i="1"/>
  <c r="O48" i="1"/>
  <c r="R6" i="1"/>
  <c r="O6" i="1"/>
  <c r="O13" i="1"/>
  <c r="K50" i="1"/>
  <c r="G50" i="1"/>
  <c r="G47" i="14"/>
  <c r="E70" i="1"/>
  <c r="T70" i="1"/>
  <c r="R13" i="1"/>
  <c r="G7" i="1"/>
  <c r="K7" i="1"/>
  <c r="K55" i="14"/>
  <c r="N55" i="14"/>
  <c r="K29" i="14"/>
  <c r="N29" i="14"/>
  <c r="G30" i="14"/>
  <c r="G51" i="14"/>
  <c r="G29" i="14"/>
  <c r="G12" i="1"/>
  <c r="K12" i="1"/>
  <c r="N23" i="14"/>
  <c r="K23" i="14"/>
  <c r="G35" i="1"/>
  <c r="K35" i="1"/>
  <c r="G48" i="14"/>
  <c r="G45" i="1"/>
  <c r="K45" i="1"/>
  <c r="V71" i="1"/>
  <c r="S12" i="7"/>
  <c r="S14" i="7" s="1"/>
  <c r="T71" i="1" l="1"/>
  <c r="E71" i="1"/>
  <c r="K51" i="14"/>
  <c r="N51" i="14"/>
  <c r="K24" i="14"/>
  <c r="N24" i="14"/>
  <c r="K8" i="1"/>
  <c r="G8" i="1"/>
  <c r="O37" i="1"/>
  <c r="K48" i="1"/>
  <c r="G48" i="1"/>
  <c r="I72" i="1"/>
  <c r="U72" i="1"/>
  <c r="R37" i="1"/>
  <c r="G52" i="1"/>
  <c r="K52" i="1"/>
  <c r="R9" i="1"/>
  <c r="O9" i="1"/>
  <c r="G49" i="1"/>
  <c r="K49" i="1"/>
  <c r="G23" i="14"/>
  <c r="K19" i="14"/>
  <c r="N19" i="14"/>
  <c r="G36" i="1"/>
  <c r="K36" i="1"/>
  <c r="R14" i="1"/>
  <c r="K37" i="14"/>
  <c r="N37" i="14"/>
  <c r="K15" i="14"/>
  <c r="N15" i="14"/>
  <c r="R10" i="1"/>
  <c r="O14" i="1"/>
  <c r="K56" i="1"/>
  <c r="G56" i="1"/>
  <c r="O20" i="1"/>
  <c r="R20" i="1"/>
  <c r="K27" i="1"/>
  <c r="G27" i="1"/>
  <c r="K13" i="1"/>
  <c r="G13" i="1"/>
  <c r="Q72" i="1"/>
  <c r="W72" i="1"/>
  <c r="O10" i="1"/>
  <c r="G15" i="14"/>
  <c r="E72" i="1"/>
  <c r="G56" i="14"/>
  <c r="T72" i="1"/>
  <c r="O36" i="1"/>
  <c r="R36" i="1"/>
  <c r="O52" i="1"/>
  <c r="R52" i="1"/>
  <c r="K6" i="1"/>
  <c r="G6" i="1"/>
  <c r="V72" i="1"/>
  <c r="N56" i="14" l="1"/>
  <c r="K56" i="14"/>
  <c r="O57" i="1"/>
  <c r="R57" i="1"/>
  <c r="K37" i="1"/>
  <c r="G37" i="1"/>
  <c r="G24" i="14"/>
  <c r="R15" i="1"/>
  <c r="O21" i="1"/>
  <c r="R21" i="1"/>
  <c r="R24" i="1"/>
  <c r="O22" i="1"/>
  <c r="K20" i="14"/>
  <c r="N20" i="14"/>
  <c r="G57" i="1"/>
  <c r="K57" i="1"/>
  <c r="O15" i="1"/>
  <c r="K27" i="14"/>
  <c r="N27" i="14"/>
  <c r="G9" i="1"/>
  <c r="K9" i="1"/>
  <c r="G19" i="1"/>
  <c r="K19" i="1"/>
  <c r="G19" i="14"/>
  <c r="O24" i="1"/>
  <c r="G20" i="14" l="1"/>
  <c r="G27" i="14"/>
  <c r="K14" i="1"/>
  <c r="G14" i="1"/>
  <c r="G21" i="1"/>
  <c r="K21" i="1"/>
  <c r="R16" i="1"/>
  <c r="K28" i="14"/>
  <c r="N28" i="14"/>
  <c r="G20" i="1"/>
  <c r="K20" i="1"/>
  <c r="K10" i="1"/>
  <c r="G10" i="1"/>
  <c r="N25" i="14"/>
  <c r="K25" i="14"/>
  <c r="O25" i="1"/>
  <c r="K22" i="1"/>
  <c r="R22" i="1"/>
  <c r="G25" i="14"/>
  <c r="G22" i="1"/>
  <c r="O23" i="1"/>
  <c r="R25" i="1"/>
  <c r="O16" i="1"/>
  <c r="K26" i="14" l="1"/>
  <c r="N26" i="14"/>
  <c r="G24" i="1"/>
  <c r="K24" i="1"/>
  <c r="R26" i="1"/>
  <c r="R23" i="1"/>
  <c r="K23" i="1"/>
  <c r="G15" i="1"/>
  <c r="K15" i="1"/>
  <c r="O26" i="1"/>
  <c r="G26" i="14"/>
  <c r="G23" i="1"/>
  <c r="G28" i="14"/>
  <c r="G25" i="1" l="1"/>
  <c r="K25" i="1"/>
  <c r="AP104" i="3"/>
  <c r="AR104" i="3"/>
  <c r="AP72" i="3"/>
  <c r="AQ30" i="7"/>
  <c r="AQ32" i="7" s="1"/>
  <c r="AU30" i="7"/>
  <c r="AU32" i="7" s="1"/>
  <c r="AN104" i="3"/>
  <c r="AR72" i="3"/>
  <c r="AS30" i="7"/>
  <c r="AS32" i="7" s="1"/>
  <c r="AN72" i="3"/>
  <c r="AO30" i="7"/>
  <c r="AO32" i="7" s="1"/>
  <c r="G16" i="1"/>
  <c r="K16" i="1"/>
  <c r="AN88" i="3" l="1"/>
  <c r="AQ93" i="4"/>
  <c r="AM93" i="4"/>
  <c r="AO93" i="4"/>
  <c r="AM31" i="4"/>
  <c r="K26" i="1"/>
  <c r="G26" i="1"/>
  <c r="AP88" i="3"/>
  <c r="AO31" i="4"/>
  <c r="AO43" i="4" s="1"/>
  <c r="AS31" i="4"/>
  <c r="AS43" i="4" s="1"/>
  <c r="AM43" i="4"/>
  <c r="AQ72" i="3"/>
  <c r="AP93" i="4"/>
  <c r="AP43" i="4"/>
  <c r="AR30" i="7"/>
  <c r="AR32" i="7" s="1"/>
  <c r="AR88" i="3"/>
  <c r="AS93" i="4"/>
  <c r="AQ31" i="4"/>
  <c r="AQ43" i="4" s="1"/>
  <c r="AO72" i="3" l="1"/>
  <c r="AN43" i="4"/>
  <c r="AN93" i="4"/>
  <c r="AP30" i="7"/>
  <c r="AP32" i="7" s="1"/>
  <c r="AM72" i="3" l="1"/>
  <c r="AL93" i="4"/>
  <c r="AL43" i="4"/>
  <c r="AN30" i="7"/>
  <c r="AN32" i="7" s="1"/>
  <c r="AK12" i="7" l="1"/>
  <c r="AK14" i="7" s="1"/>
  <c r="AT12" i="7"/>
  <c r="AT14" i="7" s="1"/>
  <c r="AS12" i="7" l="1"/>
  <c r="AS14" i="7" s="1"/>
  <c r="AH12" i="7"/>
  <c r="AH14" i="7" s="1"/>
  <c r="AU12" i="7"/>
  <c r="AU14" i="7" s="1"/>
  <c r="AI12" i="7"/>
  <c r="AI14" i="7" s="1"/>
  <c r="AL12" i="7"/>
  <c r="AL14" i="7" s="1"/>
  <c r="AQ12" i="7"/>
  <c r="AQ14" i="7" s="1"/>
  <c r="AC12" i="7"/>
  <c r="AC14" i="7" s="1"/>
  <c r="F12" i="7"/>
  <c r="F14" i="7" s="1"/>
  <c r="X12" i="7"/>
  <c r="X14" i="7" s="1"/>
  <c r="AR12" i="7"/>
  <c r="AR14" i="7" s="1"/>
  <c r="AO12" i="7"/>
  <c r="AO14" i="7" s="1"/>
  <c r="V12" i="7"/>
  <c r="V14" i="7" s="1"/>
  <c r="AJ12" i="7"/>
  <c r="AJ14" i="7" s="1"/>
  <c r="AG12" i="7"/>
  <c r="AG14" i="7" s="1"/>
  <c r="AA12" i="7"/>
  <c r="AA14" i="7" s="1"/>
  <c r="AE12" i="7"/>
  <c r="AE14" i="7" s="1"/>
  <c r="O29" i="1"/>
  <c r="K31" i="14"/>
  <c r="Y12" i="7"/>
  <c r="Y14" i="7" s="1"/>
  <c r="Q12" i="7"/>
  <c r="Q14" i="7" s="1"/>
  <c r="AF12" i="7"/>
  <c r="AF14" i="7" s="1"/>
  <c r="R29" i="1"/>
  <c r="R12" i="7"/>
  <c r="R14" i="7" s="1"/>
  <c r="AN12" i="7"/>
  <c r="AN14" i="7" s="1"/>
  <c r="W12" i="7"/>
  <c r="W14" i="7" s="1"/>
  <c r="Z12" i="7"/>
  <c r="Z14" i="7" s="1"/>
  <c r="AP12" i="7"/>
  <c r="AP14" i="7" s="1"/>
  <c r="O12" i="7"/>
  <c r="O14" i="7" s="1"/>
  <c r="AB12" i="7"/>
  <c r="AB14" i="7" s="1"/>
  <c r="AR29" i="1" l="1"/>
  <c r="K34" i="14"/>
  <c r="G13" i="7"/>
  <c r="G12" i="7" s="1"/>
  <c r="E12" i="7"/>
  <c r="E14" i="7" s="1"/>
  <c r="J12" i="7"/>
  <c r="J14" i="7" s="1"/>
  <c r="K13" i="7"/>
  <c r="K12" i="7" s="1"/>
  <c r="N34" i="14"/>
  <c r="O32" i="1"/>
  <c r="R32" i="1"/>
  <c r="L12" i="7"/>
  <c r="L14" i="7" s="1"/>
  <c r="M13" i="7"/>
  <c r="M12" i="7" s="1"/>
  <c r="G29" i="1"/>
  <c r="K29" i="1"/>
  <c r="O33" i="1" l="1"/>
  <c r="K35" i="14"/>
  <c r="N35" i="14"/>
  <c r="U59" i="1"/>
  <c r="I59" i="1"/>
  <c r="R33" i="1"/>
  <c r="N39" i="14"/>
  <c r="K32" i="1"/>
  <c r="G32" i="1"/>
  <c r="G31" i="14"/>
  <c r="O39" i="1"/>
  <c r="K39" i="14"/>
  <c r="AQ59" i="1"/>
  <c r="AU59" i="1"/>
  <c r="AS59" i="1"/>
  <c r="AK59" i="1"/>
  <c r="AJ59" i="1"/>
  <c r="AV59" i="1"/>
  <c r="AL59" i="1"/>
  <c r="AT59" i="1"/>
  <c r="AE59" i="1"/>
  <c r="Z59" i="1"/>
  <c r="AM59" i="1"/>
  <c r="AA59" i="1"/>
  <c r="AN59" i="1"/>
  <c r="AH59" i="1"/>
  <c r="AD59" i="1"/>
  <c r="AP59" i="1"/>
  <c r="AF59" i="1"/>
  <c r="AB59" i="1" l="1"/>
  <c r="R39" i="1"/>
  <c r="F59" i="1"/>
  <c r="G34" i="1"/>
  <c r="O40" i="1"/>
  <c r="J59" i="1"/>
  <c r="AC59" i="1"/>
  <c r="K40" i="14"/>
  <c r="AI59" i="1"/>
  <c r="K34" i="1"/>
  <c r="O34" i="1"/>
  <c r="V59" i="1"/>
  <c r="R34" i="1"/>
  <c r="N40" i="14"/>
  <c r="AR59" i="1"/>
  <c r="G34" i="14"/>
  <c r="K33" i="1"/>
  <c r="G33" i="1"/>
  <c r="T59" i="1"/>
  <c r="E59" i="1"/>
  <c r="G39" i="1"/>
  <c r="K39" i="1"/>
  <c r="W59" i="1"/>
  <c r="R40" i="1"/>
  <c r="Q59" i="1" l="1"/>
  <c r="G39" i="14"/>
  <c r="R41" i="1"/>
  <c r="G35" i="14"/>
  <c r="O41" i="1"/>
  <c r="G40" i="1"/>
  <c r="K40" i="1"/>
  <c r="G40" i="14"/>
  <c r="K41" i="1" l="1"/>
  <c r="G4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<sst xmlns="http://schemas.openxmlformats.org/spreadsheetml/2006/main" count="1019" uniqueCount="332">
  <si>
    <t>Assets &amp; flows - by segments</t>
  </si>
  <si>
    <t>Assets &amp; flows - by geographies</t>
  </si>
  <si>
    <t>Capital &amp; balance sheet</t>
  </si>
  <si>
    <t>Shareholding</t>
  </si>
  <si>
    <t>JV-details</t>
  </si>
  <si>
    <t>Codes</t>
  </si>
  <si>
    <t>Data as of:</t>
  </si>
  <si>
    <t>Jan</t>
  </si>
  <si>
    <t>Feb</t>
  </si>
  <si>
    <t>Mar</t>
  </si>
  <si>
    <t>Apr</t>
  </si>
  <si>
    <t>May</t>
  </si>
  <si>
    <t>Jun</t>
  </si>
  <si>
    <t>Jul</t>
  </si>
  <si>
    <t>Aug</t>
  </si>
  <si>
    <t>Sep</t>
  </si>
  <si>
    <t>Oct</t>
  </si>
  <si>
    <t>Nov</t>
  </si>
  <si>
    <t>Dec</t>
  </si>
  <si>
    <t xml:space="preserve">Q1 </t>
  </si>
  <si>
    <t xml:space="preserve">H1 </t>
  </si>
  <si>
    <t xml:space="preserve">9M </t>
  </si>
  <si>
    <t xml:space="preserve">FY </t>
  </si>
  <si>
    <t>Dates ref</t>
  </si>
  <si>
    <t>Rev_MgtFees</t>
  </si>
  <si>
    <t>Rev_PerfFees</t>
  </si>
  <si>
    <t>Rev_PerfFees_Norm</t>
  </si>
  <si>
    <t>Rev_AM</t>
  </si>
  <si>
    <t>Rev_AM_Norm</t>
  </si>
  <si>
    <t>Rev_Tech</t>
  </si>
  <si>
    <t>Rev_FinOth</t>
  </si>
  <si>
    <t>Rev_FinOth_Adj</t>
  </si>
  <si>
    <t>Rev</t>
  </si>
  <si>
    <t>Rev_Adj</t>
  </si>
  <si>
    <t>Rev_Adj_Norm</t>
  </si>
  <si>
    <t>Costs_Staff</t>
  </si>
  <si>
    <t>Costs_Others</t>
  </si>
  <si>
    <t>Costs</t>
  </si>
  <si>
    <t>Costs_Adj</t>
  </si>
  <si>
    <t>Costs_Adj_Norm</t>
  </si>
  <si>
    <t>GOI</t>
  </si>
  <si>
    <t>GOI_Adj</t>
  </si>
  <si>
    <t>GOI_Adj_Norm</t>
  </si>
  <si>
    <t>Prov</t>
  </si>
  <si>
    <t>MeQ</t>
  </si>
  <si>
    <t>MeQ_SBI</t>
  </si>
  <si>
    <t>MeQ_ABC</t>
  </si>
  <si>
    <t>MeQ_NH</t>
  </si>
  <si>
    <t>MeQ_Wafa</t>
  </si>
  <si>
    <t>PBT</t>
  </si>
  <si>
    <t>PBT_Adj</t>
  </si>
  <si>
    <t>PBT_Adj_Norm</t>
  </si>
  <si>
    <t>Tax</t>
  </si>
  <si>
    <t>Tax_Adj</t>
  </si>
  <si>
    <t>Tax_Adj_Norm</t>
  </si>
  <si>
    <t>Minos</t>
  </si>
  <si>
    <t>NetAttribProf</t>
  </si>
  <si>
    <t>NetAttribProf_Adj</t>
  </si>
  <si>
    <t>NetAttribProf_Adj_Norm</t>
  </si>
  <si>
    <t>Rev_Intangible</t>
  </si>
  <si>
    <t>Rev_EarnOut</t>
  </si>
  <si>
    <t>Tax_Intangible</t>
  </si>
  <si>
    <t>Rev_Intangible_Net</t>
  </si>
  <si>
    <t>Costs_Integration</t>
  </si>
  <si>
    <t>Tax_Integration</t>
  </si>
  <si>
    <t>Costs_Integration_Net</t>
  </si>
  <si>
    <t>Affrancamento</t>
  </si>
  <si>
    <t>Tax_TotalAdj</t>
  </si>
  <si>
    <t>Total_Adjustments_Net</t>
  </si>
  <si>
    <t>Rev_ExceptPerfFees</t>
  </si>
  <si>
    <t>Tax_ExceptPerfFees</t>
  </si>
  <si>
    <t>Rev_ExceptPerfFees_Net</t>
  </si>
  <si>
    <t>Costs_Normalisation</t>
  </si>
  <si>
    <t>Tax_NormCosts</t>
  </si>
  <si>
    <t>Costs_Normalisation_Net</t>
  </si>
  <si>
    <t>Tax_TotalNormalisation</t>
  </si>
  <si>
    <t>Adjustments:</t>
  </si>
  <si>
    <t>Total_Normalisation_Net</t>
  </si>
  <si>
    <t>Performance fees</t>
  </si>
  <si>
    <t>Performance fees, normalised</t>
  </si>
  <si>
    <t>Net asset management revenues</t>
  </si>
  <si>
    <t>Net asset management revenues, normalised</t>
  </si>
  <si>
    <t>Amundi Technology revenues</t>
  </si>
  <si>
    <t>Net revenue</t>
  </si>
  <si>
    <t>Net revenue - Adjusted</t>
  </si>
  <si>
    <t>Net revenue - Adjusted, normalised</t>
  </si>
  <si>
    <t>Other operating expenses</t>
  </si>
  <si>
    <t>Operating expenses</t>
  </si>
  <si>
    <t>Operating expenses - Adjusted</t>
  </si>
  <si>
    <t>Operating expenses - Adjusted, normalised</t>
  </si>
  <si>
    <t>Gross operating income</t>
  </si>
  <si>
    <t>Gross operating income - Adjusted</t>
  </si>
  <si>
    <t>Gross operating income - Adjusted, normalised</t>
  </si>
  <si>
    <t>Cost of risk and others</t>
  </si>
  <si>
    <t>Income before tax - Adjusted</t>
  </si>
  <si>
    <t>Income before tax - Adjusted, normalised</t>
  </si>
  <si>
    <t>Corporate tax</t>
  </si>
  <si>
    <t>Corporate tax - Adjusted</t>
  </si>
  <si>
    <t>Corporate tax - Adjusted, normalised</t>
  </si>
  <si>
    <t>Non-controlling interests</t>
  </si>
  <si>
    <t>Net income group share</t>
  </si>
  <si>
    <t>Net income group share - Adjusted</t>
  </si>
  <si>
    <t>Net income group share - Adjusted, normalised</t>
  </si>
  <si>
    <t>Tax on amortisation of intangible assets</t>
  </si>
  <si>
    <t>Adjustments to revenues (net of tax)</t>
  </si>
  <si>
    <t>IPO / integration costs (bef. tax)</t>
  </si>
  <si>
    <t>Tax on IPO / integration costs</t>
  </si>
  <si>
    <t>IPO / integration costs (net of tax)</t>
  </si>
  <si>
    <t>Total tax adjustements</t>
  </si>
  <si>
    <t>Total adjustments (net)</t>
  </si>
  <si>
    <t>Performance fees - exceptional level</t>
  </si>
  <si>
    <t>Tax on Exceptional level of perf. fees</t>
  </si>
  <si>
    <t>Performance fees - exceptional level, net of tax</t>
  </si>
  <si>
    <t>Cost normalisation from except. level of perf. fees</t>
  </si>
  <si>
    <t>Tax on cost normalisation</t>
  </si>
  <si>
    <t>Cost normalisation, net of tax</t>
  </si>
  <si>
    <t>Total tax normalisation</t>
  </si>
  <si>
    <t>Total normalisation (net)</t>
  </si>
  <si>
    <t>(€M)</t>
  </si>
  <si>
    <t>% YoY ch.</t>
  </si>
  <si>
    <t>% QoQ ch.</t>
  </si>
  <si>
    <t>Normalisation (only for 2021)</t>
  </si>
  <si>
    <t>Institutionals &amp; Sovereigns</t>
  </si>
  <si>
    <t>Corporates</t>
  </si>
  <si>
    <t>JVs</t>
  </si>
  <si>
    <t>French networks</t>
  </si>
  <si>
    <t>International networks</t>
  </si>
  <si>
    <t>(€bn)</t>
  </si>
  <si>
    <t>Retail</t>
  </si>
  <si>
    <t>Institutionals (*)</t>
  </si>
  <si>
    <t>TOTAL</t>
  </si>
  <si>
    <t>o/w Amundi BOC WM</t>
  </si>
  <si>
    <t>Third-party distributors</t>
  </si>
  <si>
    <t>Equities</t>
  </si>
  <si>
    <t>Multi-assets</t>
  </si>
  <si>
    <t>Bonds</t>
  </si>
  <si>
    <t>Real, alternative &amp; structured assets</t>
  </si>
  <si>
    <t>Real assets</t>
  </si>
  <si>
    <t>Alternative assets</t>
  </si>
  <si>
    <t>Structured products</t>
  </si>
  <si>
    <t>Treasury products excl. JVs</t>
  </si>
  <si>
    <t>o/w MLT assets</t>
  </si>
  <si>
    <t>o/w Treasury products</t>
  </si>
  <si>
    <t>JV</t>
  </si>
  <si>
    <t>MLT</t>
  </si>
  <si>
    <t>Treasury</t>
  </si>
  <si>
    <t>France</t>
  </si>
  <si>
    <t>Italy</t>
  </si>
  <si>
    <t>Europe excl. France and Italy</t>
  </si>
  <si>
    <t>Asia</t>
  </si>
  <si>
    <t>Rest of the world</t>
  </si>
  <si>
    <t>TOTAL outside France</t>
  </si>
  <si>
    <t>Groupe CA</t>
  </si>
  <si>
    <t>Salariés</t>
  </si>
  <si>
    <t>Autodétention</t>
  </si>
  <si>
    <t>Flottant</t>
  </si>
  <si>
    <t>Nombre total de titres</t>
  </si>
  <si>
    <t>Nombre moyen d'actions (depuis début période)</t>
  </si>
  <si>
    <t>Nombre moyen d'actions (trimestre)</t>
  </si>
  <si>
    <t>Number 
of shares</t>
  </si>
  <si>
    <t>% of share capital</t>
  </si>
  <si>
    <t>Crédit Agricole Group</t>
  </si>
  <si>
    <t>Employees</t>
  </si>
  <si>
    <t>Treasury shares</t>
  </si>
  <si>
    <t>Free float</t>
  </si>
  <si>
    <t>(units)</t>
  </si>
  <si>
    <t>Number of shares at end of period</t>
  </si>
  <si>
    <t>Average number of shares year-to-date</t>
  </si>
  <si>
    <t>Average number of shares quarter-to-date</t>
  </si>
  <si>
    <t>Average number of shares on a prorata basis</t>
  </si>
  <si>
    <t>Shareholding as of:</t>
  </si>
  <si>
    <t>Dates ref - AuM</t>
  </si>
  <si>
    <t>Dates ref - Flows</t>
  </si>
  <si>
    <t>Net management fees</t>
  </si>
  <si>
    <t>Dates (AuM)</t>
  </si>
  <si>
    <t>AuM_</t>
  </si>
  <si>
    <t>Retail_FrenchNetw</t>
  </si>
  <si>
    <t>Retail_AmundiBOC</t>
  </si>
  <si>
    <t>Retail_3rdDist</t>
  </si>
  <si>
    <t>Instit</t>
  </si>
  <si>
    <t>Instit_InstitSovereign</t>
  </si>
  <si>
    <t>Instit_Corporates</t>
  </si>
  <si>
    <t>Instit_ESR</t>
  </si>
  <si>
    <t>Instit_CASGInsurers</t>
  </si>
  <si>
    <t>Total</t>
  </si>
  <si>
    <t>NNM_</t>
  </si>
  <si>
    <t>Dates (Flows)</t>
  </si>
  <si>
    <t>Assets &amp; Flows - by client segments</t>
  </si>
  <si>
    <t>Net flows</t>
  </si>
  <si>
    <t>Assets under management - MLT assets</t>
  </si>
  <si>
    <t>Retail_MLT</t>
  </si>
  <si>
    <t>Retail_FrenchNetw_MLT</t>
  </si>
  <si>
    <t>Retail_AmundiBOC_MLT</t>
  </si>
  <si>
    <t>Retail_3rdDist_MLT</t>
  </si>
  <si>
    <t>Instit_MLT</t>
  </si>
  <si>
    <t>Instit_InstitSovereign_MLT</t>
  </si>
  <si>
    <t>Instit_Corporates_MLT</t>
  </si>
  <si>
    <t>Instit_ESR_MLT</t>
  </si>
  <si>
    <t>Instit_CASGInsurers_MLT</t>
  </si>
  <si>
    <t>JV_MLT</t>
  </si>
  <si>
    <t>Assets under management - Treasury products</t>
  </si>
  <si>
    <t>Retail_Treasury</t>
  </si>
  <si>
    <t>Retail_FrenchNetw_Treasury</t>
  </si>
  <si>
    <t>Retail_AmundiBOC_Treasury</t>
  </si>
  <si>
    <t>Retail_3rdDist_Treasury</t>
  </si>
  <si>
    <t>Instit_Treasury</t>
  </si>
  <si>
    <t>Instit_InstitSovereign_Treasury</t>
  </si>
  <si>
    <t>Instit_Corporates_Treasury</t>
  </si>
  <si>
    <t>Instit_ESR_Treasury</t>
  </si>
  <si>
    <t>Instit_CASGInsurers_Treasury</t>
  </si>
  <si>
    <t>JV_Treasury</t>
  </si>
  <si>
    <t>Assets under management - Total</t>
  </si>
  <si>
    <t>RestofEurope</t>
  </si>
  <si>
    <t>RoW</t>
  </si>
  <si>
    <t>JV_SBI</t>
  </si>
  <si>
    <t>JV_NH</t>
  </si>
  <si>
    <t>JV_ABC</t>
  </si>
  <si>
    <t>JV_Wafa</t>
  </si>
  <si>
    <t>Retail_InternNetw_inclBOC</t>
  </si>
  <si>
    <t>Net flows - Total</t>
  </si>
  <si>
    <t>Net flows - MLT assets</t>
  </si>
  <si>
    <t>Net flows - Treasury products</t>
  </si>
  <si>
    <t>Assets &amp; Flows - by asset classes</t>
  </si>
  <si>
    <t>Assets &amp; Flows - by geographies</t>
  </si>
  <si>
    <t>SBI MF (India)</t>
  </si>
  <si>
    <t>NH Amundi (South Korea)</t>
  </si>
  <si>
    <t>MLT_Index&amp;Smartbeta</t>
  </si>
  <si>
    <t>Active management</t>
  </si>
  <si>
    <t>Passive management</t>
  </si>
  <si>
    <t>ETFs &amp; ETCs</t>
  </si>
  <si>
    <t>Real assets &amp; Alternatives</t>
  </si>
  <si>
    <t>ABC CA (China)</t>
  </si>
  <si>
    <t>TOTAL JVs</t>
  </si>
  <si>
    <t>(€m)</t>
  </si>
  <si>
    <t>Assets &amp; Flows - by asset classes &amp; by management types</t>
  </si>
  <si>
    <t>JVs - Details</t>
  </si>
  <si>
    <t>Employee Savings &amp; Retirement</t>
  </si>
  <si>
    <t>CA &amp; SG insurers</t>
  </si>
  <si>
    <t>Assets &amp; flows - by asset classes (+management types)</t>
  </si>
  <si>
    <t>Content:</t>
  </si>
  <si>
    <t>Income statement</t>
  </si>
  <si>
    <t>MLT assets excl. JVs</t>
  </si>
  <si>
    <t>TOTAL excl. JVs</t>
  </si>
  <si>
    <t>Retail_InternNetw_InclBOC_MLT</t>
  </si>
  <si>
    <t>Retail_InternNetw_InclBOC_Treasury</t>
  </si>
  <si>
    <t>Retail_InternNetw_InclBOC</t>
  </si>
  <si>
    <t>Staff costs</t>
  </si>
  <si>
    <t>Methodology &amp; Alternative Performance Measures - APM</t>
  </si>
  <si>
    <t>as of 01/01/2024, reclassification into Bonds of short-term bond strategies (€30bn in outstanding) previously classified as Treasury products until 31/12/2023; Outstanding amounts up to that date have not been reclassified.</t>
  </si>
  <si>
    <t>Historical data</t>
  </si>
  <si>
    <t>Costs_PPA</t>
  </si>
  <si>
    <t xml:space="preserve">Note </t>
  </si>
  <si>
    <t>Financial supplement</t>
  </si>
  <si>
    <t>Equity-accounted net income</t>
  </si>
  <si>
    <t>Assets under management</t>
  </si>
  <si>
    <t>Wafa Gestion (Morocco) et autres</t>
  </si>
  <si>
    <t>2024Q1_USEqAccnt</t>
  </si>
  <si>
    <t>2024Q2_USEqAccnt</t>
  </si>
  <si>
    <t>2024Q3_USEqAccnt</t>
  </si>
  <si>
    <t>2024Q4_USEqAccnt</t>
  </si>
  <si>
    <t>2024Dec_USEqAccnt</t>
  </si>
  <si>
    <t>2024Jun_USEqAccnt</t>
  </si>
  <si>
    <t>2024Sep_USEqAccnt</t>
  </si>
  <si>
    <t>2025Q1_USEqAccnt</t>
  </si>
  <si>
    <t>2025Jun_USEqAccnt</t>
  </si>
  <si>
    <t>Net financial income and others</t>
  </si>
  <si>
    <t>Net financial income and others - Adjusted</t>
  </si>
  <si>
    <t>Technology</t>
  </si>
  <si>
    <t>Income statement - Amundi US contribution</t>
  </si>
  <si>
    <t>Group P&amp;L restated for Amundi US</t>
  </si>
  <si>
    <t>MeQ_Victory_Adj</t>
  </si>
  <si>
    <t>MeQ_Victory</t>
  </si>
  <si>
    <t>MeQ_Adj</t>
  </si>
  <si>
    <t>Adjustments Victory Capital (net of tax)</t>
  </si>
  <si>
    <t>CapGainUS_Net</t>
  </si>
  <si>
    <t>Capital gain Victory Capital after tax</t>
  </si>
  <si>
    <t>MLT_Equity_exJV_VCTR</t>
  </si>
  <si>
    <t>MLT_MultiAssets_exJV_VCTR</t>
  </si>
  <si>
    <t>MLT_Bonds_exJV_VCTR</t>
  </si>
  <si>
    <t>MLT_ARA_RealAssets_exJV_VCTR</t>
  </si>
  <si>
    <t>MLT_ARA_Alts_exJV_VCTR</t>
  </si>
  <si>
    <t>MLT_Structured_exJV_VCTR</t>
  </si>
  <si>
    <t>MLT_exJV_VCTR</t>
  </si>
  <si>
    <t>Treasury_exJV_VCTR</t>
  </si>
  <si>
    <t>exJV_VCTR</t>
  </si>
  <si>
    <t>MLT_Active_exJV_VCTR</t>
  </si>
  <si>
    <t>MLT_Active_Equity_exJV_VCTR</t>
  </si>
  <si>
    <t>MLT_Active_MultiAssets_exJV_VCTR</t>
  </si>
  <si>
    <t>MLT_Active_Bonds_exJV_VCTR</t>
  </si>
  <si>
    <t>MLT_Passive_exJV_VCTR</t>
  </si>
  <si>
    <t>MLT_Passive_ETF_exJV_VCTR</t>
  </si>
  <si>
    <t>MLT_ARA_exJV_VCTR</t>
  </si>
  <si>
    <t>VCTR</t>
  </si>
  <si>
    <t>VCTR_MLT</t>
  </si>
  <si>
    <t>VCTR_Treasury</t>
  </si>
  <si>
    <t xml:space="preserve">Victory-US distribution </t>
  </si>
  <si>
    <t>Victory-US distribution</t>
  </si>
  <si>
    <t>Group P&amp;L restated Amundi US</t>
  </si>
  <si>
    <t>Amundi US - P&amp;L contribution</t>
  </si>
  <si>
    <t>Group P&amp;L</t>
  </si>
  <si>
    <t xml:space="preserve">Assets under management and net inflows including assets under advisory and marketed and funds of funds, including 100% of assets under management and net inflows from Asian JVs; </t>
  </si>
  <si>
    <t>for Wafa Gestion in Morocco and Victory Capital US distribution, assets under management and net inflows are taken over by Amundi in the capital</t>
  </si>
  <si>
    <t>CostIncome_Adj</t>
  </si>
  <si>
    <t>Cost / Income ratio, adjusted (%)</t>
  </si>
  <si>
    <t>CostIncome</t>
  </si>
  <si>
    <t>Cost / Income ratio (%)</t>
  </si>
  <si>
    <t>Index</t>
  </si>
  <si>
    <t>Index (*)</t>
  </si>
  <si>
    <t>(*) starting in Q2 2025, Smart Beta strategies (Equity, fixed income, multi-asset) were transferred from Index &amp; Smart Beta to Active management, in the relevant asset classes; €21bn were reclassified as of 1 April, no reclassification was performed before that date.</t>
  </si>
  <si>
    <t>2025Q2</t>
  </si>
  <si>
    <t>2025Sep</t>
  </si>
  <si>
    <t>2024Sep_USEqAccnt2</t>
  </si>
  <si>
    <t>Prov_Adj</t>
  </si>
  <si>
    <t>Other non-cash charges related to Alpha Associates</t>
  </si>
  <si>
    <t>Pre-tax income</t>
  </si>
  <si>
    <t>Pre-tax income - Adjusted</t>
  </si>
  <si>
    <t>2024Jun_USEqAccnt2</t>
  </si>
  <si>
    <t>2024Dec_USEqAccnt2</t>
  </si>
  <si>
    <t>2025Jun</t>
  </si>
  <si>
    <t>Associates – JVs</t>
  </si>
  <si>
    <t>Associates – US operations</t>
  </si>
  <si>
    <t>Associates – US operations  – adjusted</t>
  </si>
  <si>
    <t>Cost of risk and others - Adjusted</t>
  </si>
  <si>
    <t>Amortisation of intangible assets (before tax)</t>
  </si>
  <si>
    <t>Integration and restructuring costs (before tax)</t>
  </si>
  <si>
    <t>Amortisation related to aixigo PPA (before tax)</t>
  </si>
  <si>
    <t>Tax on restructuring / integration costs &amp; PPA</t>
  </si>
  <si>
    <t>Restructuring / integration costs &amp; PPA (net of tax)</t>
  </si>
  <si>
    <t>2025Q1</t>
  </si>
  <si>
    <t>YtD pro forma data</t>
  </si>
  <si>
    <t>Quarterly pro forma data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</si>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</sst>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Red]\+0.0%\-0.0%;0.0%"/>
    <numFmt numFmtId="165" formatCode="#,##0_);\(#,##0\);0_)"/>
    <numFmt numFmtId="166" formatCode="#,##0.00_);\(#,##0.00\);0.00_);@_)"/>
    <numFmt numFmtId="167" formatCode="\+0.0%;\-0.0%;0.0%"/>
    <numFmt numFmtId="168" formatCode="\+#,##0.0,,,;[Red]\-#,##0.0,,,;;"/>
    <numFmt numFmtId="169" formatCode="#,##0,,,;[Red]\-#,##0,,,;0_)"/>
    <numFmt numFmtId="170" formatCode="\+#,##0.0,,,;\-#,##0.0,,,;;"/>
    <numFmt numFmtId="171" formatCode="\+#,##0.0,,,;\-#,##0.0,,,;0.0_)"/>
    <numFmt numFmtId="172" formatCode="0.0%"/>
    <numFmt numFmtId="173" formatCode="dd/mm/yyyy;@"/>
    <numFmt numFmtId="174" formatCode="[$-F800]dddd\,\ mmmm\ dd\,\ yyyy"/>
    <numFmt numFmtId="175" formatCode="#,##0.0_ ;\-#,##0.0\ "/>
    <numFmt numFmtId="176" formatCode="#,##0.000,,,;[Red]\-#,##0.000,,,;0.000_)"/>
    <numFmt numFmtId="177" formatCode="\+#,##0.000,,,;\-#,##0.000,,,;0.000_)"/>
    <numFmt numFmtId="178" formatCode="#,##0.0000,,,;[Red]\-#,##0.0000,,,;0.0000_)"/>
    <numFmt numFmtId="179" formatCode="\+#,##0.000,,,;\-#,##0.000,,,;"/>
    <numFmt numFmtId="180" formatCode="#,##0.0%;\(#,##0.0%\);\-"/>
    <numFmt numFmtId="181" formatCode="\+#,##0.0&quot;pp&quot;;\-#,##0.0&quot;pp&quot;;\-"/>
    <numFmt numFmtId="182" formatCode="#,##0_);\(#,##0\);\-_)"/>
  </numFmts>
  <fonts count="46" x14ac:knownFonts="1">
    <font>
      <sz val="9"/>
      <color theme="1"/>
      <name val="Arial"/>
      <family val="2"/>
    </font>
    <font>
      <sz val="9"/>
      <color theme="1"/>
      <name val="Arial"/>
      <family val="2"/>
    </font>
    <font>
      <u/>
      <sz val="9"/>
      <color theme="10"/>
      <name val="Arial"/>
      <family val="2"/>
    </font>
    <font>
      <i/>
      <sz val="9"/>
      <color theme="1"/>
      <name val="Arial"/>
      <family val="2"/>
    </font>
    <font>
      <b/>
      <sz val="9"/>
      <color theme="1"/>
      <name val="Arial"/>
      <family val="2"/>
    </font>
    <font>
      <b/>
      <i/>
      <sz val="9"/>
      <color theme="1"/>
      <name val="Arial"/>
      <family val="2"/>
    </font>
    <font>
      <b/>
      <sz val="9"/>
      <color theme="0"/>
      <name val="Arial"/>
      <family val="2"/>
    </font>
    <font>
      <sz val="10"/>
      <color theme="1"/>
      <name val="Arial"/>
      <family val="2"/>
    </font>
    <font>
      <i/>
      <sz val="8"/>
      <color theme="1"/>
      <name val="Arial"/>
      <family val="2"/>
    </font>
    <font>
      <b/>
      <i/>
      <sz val="9"/>
      <color theme="0"/>
      <name val="Arial"/>
      <family val="2"/>
    </font>
    <font>
      <b/>
      <sz val="9"/>
      <name val="Arial"/>
      <family val="2"/>
    </font>
    <font>
      <sz val="9"/>
      <name val="Arial"/>
      <family val="2"/>
    </font>
    <font>
      <sz val="9"/>
      <color theme="0"/>
      <name val="Arial"/>
      <family val="2"/>
    </font>
    <font>
      <i/>
      <sz val="9"/>
      <name val="Arial"/>
      <family val="2"/>
    </font>
    <font>
      <b/>
      <i/>
      <sz val="8"/>
      <color theme="1"/>
      <name val="Arial"/>
      <family val="2"/>
    </font>
    <font>
      <sz val="10"/>
      <name val="Arial"/>
      <family val="2"/>
    </font>
    <font>
      <i/>
      <sz val="8"/>
      <name val="Arial"/>
      <family val="2"/>
    </font>
    <font>
      <sz val="9"/>
      <color rgb="FF003C64"/>
      <name val="Arial"/>
      <family val="2"/>
    </font>
    <font>
      <i/>
      <sz val="9"/>
      <color rgb="FF003C64"/>
      <name val="Arial"/>
      <family val="2"/>
    </font>
    <font>
      <b/>
      <sz val="9"/>
      <color rgb="FF003C64"/>
      <name val="Arial"/>
      <family val="2"/>
    </font>
    <font>
      <i/>
      <sz val="7"/>
      <color theme="1"/>
      <name val="Arial"/>
      <family val="2"/>
    </font>
    <font>
      <sz val="8"/>
      <color theme="1"/>
      <name val="Arial"/>
      <family val="2"/>
    </font>
    <font>
      <sz val="9"/>
      <color rgb="FFFF0000"/>
      <name val="Arial"/>
      <family val="2"/>
    </font>
    <font>
      <b/>
      <sz val="14"/>
      <color rgb="FF0070C0"/>
      <name val="Arial"/>
      <family val="2"/>
    </font>
    <font>
      <sz val="9"/>
      <color theme="1"/>
      <name val="Noto Sans Condensed"/>
      <family val="2"/>
    </font>
    <font>
      <b/>
      <sz val="9"/>
      <color theme="8"/>
      <name val="Arial"/>
      <family val="2"/>
    </font>
    <font>
      <i/>
      <sz val="9"/>
      <name val="Noto Sans Condensed"/>
      <family val="2"/>
    </font>
    <font>
      <sz val="14"/>
      <color theme="1"/>
      <name val="Arial"/>
      <family val="2"/>
    </font>
    <font>
      <sz val="8"/>
      <name val="Arial"/>
      <family val="2"/>
    </font>
    <font>
      <b/>
      <i/>
      <sz val="9"/>
      <name val="Arial"/>
      <family val="2"/>
    </font>
    <font>
      <b/>
      <sz val="12"/>
      <color rgb="FF0070C0"/>
      <name val="Arial"/>
      <family val="2"/>
    </font>
    <font>
      <b/>
      <sz val="12"/>
      <color theme="8"/>
      <name val="Arial"/>
      <family val="2"/>
    </font>
    <font>
      <i/>
      <sz val="9"/>
      <color theme="0"/>
      <name val="Arial"/>
      <family val="2"/>
    </font>
    <font>
      <b/>
      <sz val="9"/>
      <color rgb="FF0070C0"/>
      <name val="Arial"/>
      <family val="2"/>
    </font>
    <font>
      <b/>
      <i/>
      <sz val="8"/>
      <color theme="0"/>
      <name val="Arial"/>
      <family val="2"/>
    </font>
    <font>
      <b/>
      <i/>
      <sz val="9"/>
      <color rgb="FF003C64"/>
      <name val="Arial"/>
      <family val="2"/>
    </font>
    <font>
      <sz val="8"/>
      <color theme="0"/>
      <name val="Arial"/>
      <family val="2"/>
    </font>
    <font>
      <b/>
      <sz val="14"/>
      <color theme="4"/>
      <name val="Arial"/>
      <family val="2"/>
    </font>
    <font>
      <b/>
      <sz val="12"/>
      <color theme="4"/>
      <name val="Arial"/>
      <family val="2"/>
    </font>
    <font>
      <b/>
      <sz val="12"/>
      <color rgb="FF00B0F0"/>
      <name val="Arial"/>
      <family val="2"/>
    </font>
    <font>
      <b/>
      <i/>
      <sz val="8"/>
      <color rgb="FFFF0000"/>
      <name val="Arial"/>
      <family val="2"/>
    </font>
    <font>
      <u/>
      <sz val="10"/>
      <color theme="10"/>
      <name val="Arial"/>
      <family val="2"/>
    </font>
    <font>
      <sz val="11"/>
      <color theme="1"/>
      <name val="Calibri"/>
      <family val="2"/>
      <scheme val="minor"/>
    </font>
    <font>
      <b/>
      <sz val="10"/>
      <color rgb="FF00355F"/>
      <name val="Arial"/>
      <family val="2"/>
    </font>
    <font>
      <b/>
      <i/>
      <sz val="7"/>
      <color theme="1"/>
      <name val="Arial"/>
      <family val="2"/>
    </font>
    <font>
      <i/>
      <sz val="9"/>
      <color rgb="FF002060"/>
      <name val="Arial"/>
      <family val="2"/>
    </font>
  </fonts>
  <fills count="21">
    <fill>
      <patternFill patternType="none"/>
    </fill>
    <fill>
      <patternFill patternType="gray125"/>
    </fill>
    <fill>
      <patternFill patternType="solid">
        <fgColor theme="0" tint="-0.14999847407452621"/>
        <bgColor indexed="64"/>
      </patternFill>
    </fill>
    <fill>
      <patternFill patternType="solid">
        <fgColor rgb="FF003C64"/>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rgb="FF005483"/>
        <bgColor indexed="64"/>
      </patternFill>
    </fill>
    <fill>
      <patternFill patternType="solid">
        <fgColor rgb="FFEDEDED"/>
        <bgColor indexed="64"/>
      </patternFill>
    </fill>
    <fill>
      <patternFill patternType="solid">
        <fgColor rgb="FFBFBFBF"/>
        <bgColor indexed="64"/>
      </patternFill>
    </fill>
    <fill>
      <patternFill patternType="solid">
        <fgColor rgb="FF0073A3"/>
        <bgColor indexed="64"/>
      </patternFill>
    </fill>
    <fill>
      <patternFill patternType="solid">
        <fgColor theme="0"/>
        <bgColor indexed="64"/>
      </patternFill>
    </fill>
    <fill>
      <patternFill patternType="solid">
        <fgColor indexed="9"/>
        <bgColor indexed="64"/>
      </patternFill>
    </fill>
    <fill>
      <patternFill patternType="solid">
        <fgColor rgb="FF102D69"/>
        <bgColor indexed="64"/>
      </patternFill>
    </fill>
    <fill>
      <patternFill patternType="solid">
        <fgColor rgb="FF003167"/>
        <bgColor indexed="64"/>
      </patternFill>
    </fill>
    <fill>
      <patternFill patternType="solid">
        <fgColor rgb="FFD9D9D9"/>
        <bgColor indexed="64"/>
      </patternFill>
    </fill>
    <fill>
      <patternFill patternType="solid">
        <fgColor theme="4" tint="0.79998168889431442"/>
        <bgColor indexed="64"/>
      </patternFill>
    </fill>
    <fill>
      <patternFill patternType="solid">
        <fgColor theme="4"/>
        <bgColor indexed="64"/>
      </patternFill>
    </fill>
    <fill>
      <patternFill patternType="solid">
        <fgColor theme="0" tint="-4.9989318521683403E-2"/>
        <bgColor indexed="64"/>
      </patternFill>
    </fill>
    <fill>
      <patternFill patternType="solid">
        <fgColor theme="8" tint="-0.499984740745262"/>
        <bgColor indexed="64"/>
      </patternFill>
    </fill>
    <fill>
      <patternFill patternType="solid">
        <fgColor rgb="FF99B9D9"/>
        <bgColor indexed="64"/>
      </patternFill>
    </fill>
  </fills>
  <borders count="24">
    <border>
      <left/>
      <right/>
      <top/>
      <bottom/>
      <diagonal/>
    </border>
    <border>
      <left style="thin">
        <color rgb="FF0070C0"/>
      </left>
      <right style="thin">
        <color theme="0" tint="-0.24994659260841701"/>
      </right>
      <top style="thin">
        <color rgb="FF0070C0"/>
      </top>
      <bottom style="thin">
        <color theme="0" tint="-0.24994659260841701"/>
      </bottom>
      <diagonal/>
    </border>
    <border>
      <left style="thin">
        <color theme="0" tint="-0.24994659260841701"/>
      </left>
      <right style="thin">
        <color rgb="FF0070C0"/>
      </right>
      <top style="thin">
        <color rgb="FF0070C0"/>
      </top>
      <bottom style="thin">
        <color theme="0" tint="-0.24994659260841701"/>
      </bottom>
      <diagonal/>
    </border>
    <border>
      <left style="thin">
        <color rgb="FF0070C0"/>
      </left>
      <right style="thin">
        <color theme="0" tint="-0.24994659260841701"/>
      </right>
      <top style="thin">
        <color theme="0" tint="-0.24994659260841701"/>
      </top>
      <bottom style="thin">
        <color theme="0" tint="-0.24994659260841701"/>
      </bottom>
      <diagonal/>
    </border>
    <border>
      <left style="thin">
        <color theme="0" tint="-0.24994659260841701"/>
      </left>
      <right style="thin">
        <color rgb="FF0070C0"/>
      </right>
      <top style="thin">
        <color theme="0" tint="-0.24994659260841701"/>
      </top>
      <bottom style="thin">
        <color theme="0" tint="-0.24994659260841701"/>
      </bottom>
      <diagonal/>
    </border>
    <border>
      <left style="thin">
        <color rgb="FF0070C0"/>
      </left>
      <right style="thin">
        <color theme="0" tint="-0.24994659260841701"/>
      </right>
      <top style="thin">
        <color theme="0" tint="-0.24994659260841701"/>
      </top>
      <bottom style="thin">
        <color rgb="FF0070C0"/>
      </bottom>
      <diagonal/>
    </border>
    <border>
      <left style="thin">
        <color theme="0" tint="-0.24994659260841701"/>
      </left>
      <right style="thin">
        <color rgb="FF0070C0"/>
      </right>
      <top style="thin">
        <color theme="0" tint="-0.24994659260841701"/>
      </top>
      <bottom style="thin">
        <color rgb="FF0070C0"/>
      </bottom>
      <diagonal/>
    </border>
    <border>
      <left/>
      <right/>
      <top style="medium">
        <color theme="4"/>
      </top>
      <bottom style="thin">
        <color theme="0" tint="-0.14996795556505021"/>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top/>
      <bottom style="thin">
        <color theme="2" tint="-0.24994659260841701"/>
      </bottom>
      <diagonal/>
    </border>
    <border>
      <left/>
      <right/>
      <top style="thin">
        <color theme="2" tint="-0.24994659260841701"/>
      </top>
      <bottom/>
      <diagonal/>
    </border>
    <border>
      <left/>
      <right/>
      <top style="thin">
        <color theme="2" tint="-0.24994659260841701"/>
      </top>
      <bottom style="hair">
        <color theme="0" tint="-0.14996795556505021"/>
      </bottom>
      <diagonal/>
    </border>
    <border>
      <left/>
      <right/>
      <top style="thin">
        <color theme="2" tint="-0.24994659260841701"/>
      </top>
      <bottom style="thin">
        <color theme="0" tint="-0.14996795556505021"/>
      </bottom>
      <diagonal/>
    </border>
    <border>
      <left/>
      <right/>
      <top/>
      <bottom style="thin">
        <color rgb="FF003C64"/>
      </bottom>
      <diagonal/>
    </border>
    <border>
      <left/>
      <right/>
      <top/>
      <bottom style="thin">
        <color rgb="FF005483"/>
      </bottom>
      <diagonal/>
    </border>
    <border>
      <left/>
      <right/>
      <top style="thin">
        <color theme="2" tint="-0.24994659260841701"/>
      </top>
      <bottom style="thin">
        <color rgb="FF005483"/>
      </bottom>
      <diagonal/>
    </border>
    <border>
      <left/>
      <right/>
      <top/>
      <bottom style="hair">
        <color theme="0" tint="-0.14996795556505021"/>
      </bottom>
      <diagonal/>
    </border>
    <border>
      <left/>
      <right/>
      <top style="thin">
        <color rgb="FF003C64"/>
      </top>
      <bottom style="thin">
        <color rgb="FF003C64"/>
      </bottom>
      <diagonal/>
    </border>
    <border>
      <left/>
      <right/>
      <top/>
      <bottom style="hair">
        <color theme="1" tint="0.499984740745262"/>
      </bottom>
      <diagonal/>
    </border>
    <border>
      <left/>
      <right/>
      <top/>
      <bottom style="thin">
        <color theme="0"/>
      </bottom>
      <diagonal/>
    </border>
    <border>
      <left/>
      <right/>
      <top/>
      <bottom style="thin">
        <color indexed="64"/>
      </bottom>
      <diagonal/>
    </border>
    <border>
      <left/>
      <right/>
      <top style="hair">
        <color theme="1" tint="0.499984740745262"/>
      </top>
      <bottom style="hair">
        <color theme="1" tint="0.499984740745262"/>
      </bottom>
      <diagonal/>
    </border>
  </borders>
  <cellStyleXfs count="12">
    <xf numFmtId="0" fontId="0" fillId="0" borderId="0"/>
    <xf numFmtId="164" fontId="1" fillId="0" borderId="0" applyFont="0" applyFill="0" applyBorder="0" applyAlignment="0" applyProtection="0"/>
    <xf numFmtId="165" fontId="1" fillId="0" borderId="0" applyFont="0" applyFill="0" applyBorder="0" applyAlignment="0" applyProtection="0"/>
    <xf numFmtId="0" fontId="2" fillId="0" borderId="0" applyNumberFormat="0" applyFill="0" applyBorder="0" applyAlignment="0" applyProtection="0"/>
    <xf numFmtId="0" fontId="7" fillId="0" borderId="0"/>
    <xf numFmtId="166" fontId="7" fillId="0" borderId="0" applyFont="0" applyFill="0" applyBorder="0" applyAlignment="0" applyProtection="0"/>
    <xf numFmtId="9" fontId="1" fillId="0" borderId="0" applyFont="0" applyFill="0" applyBorder="0" applyAlignment="0" applyProtection="0"/>
    <xf numFmtId="0" fontId="15" fillId="0" borderId="0"/>
    <xf numFmtId="0" fontId="42" fillId="0" borderId="0"/>
    <xf numFmtId="0" fontId="21" fillId="0" borderId="0"/>
    <xf numFmtId="9" fontId="42" fillId="0" borderId="0" applyFont="0" applyFill="0" applyBorder="0" applyAlignment="0" applyProtection="0"/>
    <xf numFmtId="0" fontId="43" fillId="0" borderId="0" applyNumberFormat="0" applyFill="0" applyBorder="0" applyProtection="0">
      <alignment horizontal="left"/>
    </xf>
  </cellStyleXfs>
  <cellXfs count="370">
    <xf numFmtId="0" fontId="0" fillId="0" borderId="0" xfId="0"/>
    <xf numFmtId="0" fontId="3" fillId="0" borderId="0" xfId="0" applyFont="1"/>
    <xf numFmtId="0" fontId="5"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2" borderId="3" xfId="0" applyFill="1" applyBorder="1"/>
    <xf numFmtId="0" fontId="0" fillId="2" borderId="4" xfId="0" applyFill="1" applyBorder="1"/>
    <xf numFmtId="0" fontId="0" fillId="2" borderId="5" xfId="0" applyFill="1" applyBorder="1"/>
    <xf numFmtId="0" fontId="0" fillId="2" borderId="6" xfId="0" applyFill="1" applyBorder="1"/>
    <xf numFmtId="0" fontId="8" fillId="0" borderId="0" xfId="0" applyFont="1"/>
    <xf numFmtId="0" fontId="8" fillId="4" borderId="0" xfId="0" applyFont="1" applyFill="1"/>
    <xf numFmtId="165" fontId="11" fillId="0" borderId="0" xfId="5" applyNumberFormat="1" applyFont="1" applyFill="1" applyBorder="1" applyAlignment="1">
      <alignment horizontal="left" indent="1"/>
    </xf>
    <xf numFmtId="0" fontId="6" fillId="7" borderId="0" xfId="0" applyFont="1" applyFill="1" applyAlignment="1">
      <alignment horizontal="left"/>
    </xf>
    <xf numFmtId="0" fontId="6" fillId="7" borderId="0" xfId="0" applyFont="1" applyFill="1" applyAlignment="1">
      <alignment horizontal="right"/>
    </xf>
    <xf numFmtId="167" fontId="11" fillId="0" borderId="0" xfId="5" applyNumberFormat="1" applyFont="1" applyFill="1" applyBorder="1" applyAlignment="1">
      <alignment horizontal="right" vertical="center"/>
    </xf>
    <xf numFmtId="0" fontId="6" fillId="6" borderId="9" xfId="4" applyFont="1" applyFill="1" applyBorder="1"/>
    <xf numFmtId="0" fontId="6" fillId="7" borderId="9" xfId="4" applyFont="1" applyFill="1" applyBorder="1"/>
    <xf numFmtId="0" fontId="6" fillId="7" borderId="9" xfId="4" applyFont="1" applyFill="1" applyBorder="1" applyAlignment="1">
      <alignment horizontal="left" vertical="center"/>
    </xf>
    <xf numFmtId="0" fontId="6" fillId="0" borderId="0" xfId="0" applyFont="1" applyAlignment="1">
      <alignment horizontal="center" vertical="center"/>
    </xf>
    <xf numFmtId="167" fontId="6" fillId="9" borderId="9" xfId="5" applyNumberFormat="1" applyFont="1" applyFill="1" applyBorder="1" applyAlignment="1">
      <alignment horizontal="right" vertical="center"/>
    </xf>
    <xf numFmtId="0" fontId="9" fillId="3" borderId="9" xfId="4" applyFont="1" applyFill="1" applyBorder="1"/>
    <xf numFmtId="165" fontId="11" fillId="0" borderId="0" xfId="5" applyNumberFormat="1" applyFont="1" applyFill="1" applyBorder="1" applyAlignment="1">
      <alignment horizontal="right" vertical="center"/>
    </xf>
    <xf numFmtId="165" fontId="6" fillId="9" borderId="9" xfId="5" applyNumberFormat="1" applyFont="1" applyFill="1" applyBorder="1" applyAlignment="1">
      <alignment horizontal="right" vertical="center"/>
    </xf>
    <xf numFmtId="165" fontId="6" fillId="7" borderId="9" xfId="5" applyNumberFormat="1" applyFont="1" applyFill="1" applyBorder="1" applyAlignment="1">
      <alignment horizontal="right" vertical="center"/>
    </xf>
    <xf numFmtId="167" fontId="6" fillId="7" borderId="9" xfId="5" applyNumberFormat="1" applyFont="1" applyFill="1" applyBorder="1" applyAlignment="1">
      <alignment horizontal="right" vertical="center"/>
    </xf>
    <xf numFmtId="0" fontId="6" fillId="9" borderId="9" xfId="4" applyFont="1" applyFill="1" applyBorder="1"/>
    <xf numFmtId="165" fontId="12" fillId="9" borderId="9" xfId="5" applyNumberFormat="1" applyFont="1" applyFill="1" applyBorder="1" applyAlignment="1">
      <alignment horizontal="right" vertical="center"/>
    </xf>
    <xf numFmtId="165" fontId="9" fillId="3" borderId="9" xfId="5" applyNumberFormat="1" applyFont="1" applyFill="1" applyBorder="1" applyAlignment="1">
      <alignment horizontal="right" vertical="center"/>
    </xf>
    <xf numFmtId="167" fontId="9" fillId="3" borderId="9" xfId="5" applyNumberFormat="1" applyFont="1" applyFill="1" applyBorder="1" applyAlignment="1">
      <alignment horizontal="right" vertical="center"/>
    </xf>
    <xf numFmtId="0" fontId="0" fillId="8" borderId="0" xfId="0" applyFill="1"/>
    <xf numFmtId="0" fontId="6" fillId="7" borderId="10" xfId="4" applyFont="1" applyFill="1" applyBorder="1"/>
    <xf numFmtId="165" fontId="6" fillId="7" borderId="10" xfId="5" applyNumberFormat="1" applyFont="1" applyFill="1" applyBorder="1" applyAlignment="1">
      <alignment horizontal="right" vertical="center"/>
    </xf>
    <xf numFmtId="0" fontId="6" fillId="0" borderId="0" xfId="0" applyFont="1"/>
    <xf numFmtId="0" fontId="9" fillId="0" borderId="0" xfId="0" applyFont="1"/>
    <xf numFmtId="0" fontId="9" fillId="3" borderId="10" xfId="4" applyFont="1" applyFill="1" applyBorder="1"/>
    <xf numFmtId="165" fontId="9" fillId="3" borderId="10" xfId="5" applyNumberFormat="1" applyFont="1" applyFill="1" applyBorder="1" applyAlignment="1">
      <alignment horizontal="right" vertical="center"/>
    </xf>
    <xf numFmtId="167" fontId="9" fillId="3" borderId="10" xfId="5" applyNumberFormat="1" applyFont="1" applyFill="1" applyBorder="1" applyAlignment="1">
      <alignment horizontal="right" vertical="center"/>
    </xf>
    <xf numFmtId="0" fontId="6" fillId="7" borderId="8" xfId="4" applyFont="1" applyFill="1" applyBorder="1"/>
    <xf numFmtId="165" fontId="11" fillId="7" borderId="8" xfId="5" applyNumberFormat="1" applyFont="1" applyFill="1" applyBorder="1" applyAlignment="1">
      <alignment horizontal="right" vertical="center"/>
    </xf>
    <xf numFmtId="0" fontId="3" fillId="0" borderId="0" xfId="4" applyFont="1" applyAlignment="1">
      <alignment horizontal="left" indent="1"/>
    </xf>
    <xf numFmtId="0" fontId="8" fillId="8" borderId="0" xfId="0" applyFont="1" applyFill="1"/>
    <xf numFmtId="165" fontId="11" fillId="11" borderId="0" xfId="5" applyNumberFormat="1" applyFont="1" applyFill="1" applyBorder="1" applyAlignment="1">
      <alignment horizontal="left" indent="1"/>
    </xf>
    <xf numFmtId="165" fontId="11" fillId="11" borderId="0" xfId="5" applyNumberFormat="1" applyFont="1" applyFill="1" applyBorder="1" applyAlignment="1">
      <alignment horizontal="right" vertical="center"/>
    </xf>
    <xf numFmtId="0" fontId="0" fillId="11" borderId="0" xfId="0" applyFill="1"/>
    <xf numFmtId="0" fontId="6" fillId="11" borderId="0" xfId="0" applyFont="1" applyFill="1" applyAlignment="1">
      <alignment horizontal="right"/>
    </xf>
    <xf numFmtId="165" fontId="6" fillId="11" borderId="0" xfId="5" applyNumberFormat="1" applyFont="1" applyFill="1" applyBorder="1" applyAlignment="1">
      <alignment horizontal="right" vertical="center"/>
    </xf>
    <xf numFmtId="165" fontId="9" fillId="11" borderId="0" xfId="5" applyNumberFormat="1" applyFont="1" applyFill="1" applyBorder="1" applyAlignment="1">
      <alignment horizontal="right" vertical="center"/>
    </xf>
    <xf numFmtId="165" fontId="12" fillId="11" borderId="0" xfId="5" applyNumberFormat="1" applyFont="1" applyFill="1" applyBorder="1" applyAlignment="1">
      <alignment horizontal="right" vertical="center"/>
    </xf>
    <xf numFmtId="0" fontId="14" fillId="0" borderId="0" xfId="0" applyFont="1"/>
    <xf numFmtId="0" fontId="3" fillId="0" borderId="0" xfId="4" applyFont="1"/>
    <xf numFmtId="167" fontId="0" fillId="0" borderId="0" xfId="0" applyNumberFormat="1"/>
    <xf numFmtId="167" fontId="6" fillId="7" borderId="0" xfId="0" applyNumberFormat="1" applyFont="1" applyFill="1" applyAlignment="1">
      <alignment horizontal="right"/>
    </xf>
    <xf numFmtId="167" fontId="11" fillId="0" borderId="0" xfId="5" applyNumberFormat="1" applyFont="1" applyFill="1" applyBorder="1" applyAlignment="1">
      <alignment horizontal="left" indent="1"/>
    </xf>
    <xf numFmtId="167" fontId="11" fillId="7" borderId="8" xfId="5" applyNumberFormat="1" applyFont="1" applyFill="1" applyBorder="1" applyAlignment="1">
      <alignment horizontal="right" vertical="center"/>
    </xf>
    <xf numFmtId="167" fontId="12" fillId="9" borderId="9" xfId="5" applyNumberFormat="1" applyFont="1" applyFill="1" applyBorder="1" applyAlignment="1">
      <alignment horizontal="right" vertical="center"/>
    </xf>
    <xf numFmtId="167" fontId="6" fillId="7" borderId="10" xfId="5" applyNumberFormat="1" applyFont="1" applyFill="1" applyBorder="1" applyAlignment="1">
      <alignment horizontal="right" vertical="center"/>
    </xf>
    <xf numFmtId="167" fontId="0" fillId="8" borderId="0" xfId="0" applyNumberFormat="1" applyFill="1"/>
    <xf numFmtId="168" fontId="10" fillId="0" borderId="0" xfId="5" applyNumberFormat="1" applyFont="1" applyFill="1" applyBorder="1" applyAlignment="1">
      <alignment horizontal="right" vertical="center" indent="1"/>
    </xf>
    <xf numFmtId="0" fontId="14" fillId="0" borderId="0" xfId="4" applyFont="1"/>
    <xf numFmtId="0" fontId="16" fillId="12" borderId="0" xfId="7" applyFont="1" applyFill="1"/>
    <xf numFmtId="0" fontId="6" fillId="7" borderId="0" xfId="0" applyFont="1" applyFill="1" applyAlignment="1">
      <alignment horizontal="right" wrapText="1"/>
    </xf>
    <xf numFmtId="0" fontId="0" fillId="0" borderId="0" xfId="4" applyFont="1"/>
    <xf numFmtId="0" fontId="5" fillId="0" borderId="0" xfId="4" applyFont="1"/>
    <xf numFmtId="0" fontId="13" fillId="12" borderId="0" xfId="7" applyFont="1" applyFill="1"/>
    <xf numFmtId="0" fontId="13" fillId="0" borderId="0" xfId="7" applyFont="1"/>
    <xf numFmtId="0" fontId="6" fillId="3" borderId="0" xfId="0" applyFont="1" applyFill="1" applyAlignment="1">
      <alignment horizontal="left"/>
    </xf>
    <xf numFmtId="0" fontId="6" fillId="3" borderId="0" xfId="0" applyFont="1" applyFill="1" applyAlignment="1">
      <alignment horizontal="right" wrapText="1"/>
    </xf>
    <xf numFmtId="0" fontId="6" fillId="13" borderId="0" xfId="0" applyFont="1" applyFill="1" applyAlignment="1">
      <alignment horizontal="right" wrapText="1"/>
    </xf>
    <xf numFmtId="0" fontId="6" fillId="14" borderId="0" xfId="0" applyFont="1" applyFill="1" applyAlignment="1">
      <alignment horizontal="left"/>
    </xf>
    <xf numFmtId="0" fontId="0" fillId="0" borderId="11" xfId="4" applyFont="1" applyBorder="1"/>
    <xf numFmtId="0" fontId="0" fillId="0" borderId="11" xfId="0" applyBorder="1"/>
    <xf numFmtId="0" fontId="12" fillId="0" borderId="0" xfId="0" applyFont="1"/>
    <xf numFmtId="0" fontId="12" fillId="0" borderId="0" xfId="4" applyFont="1"/>
    <xf numFmtId="0" fontId="6" fillId="0" borderId="0" xfId="4" applyFont="1"/>
    <xf numFmtId="0" fontId="17" fillId="0" borderId="7" xfId="4" applyFont="1" applyBorder="1" applyAlignment="1">
      <alignment horizontal="left" indent="1"/>
    </xf>
    <xf numFmtId="0" fontId="17" fillId="0" borderId="0" xfId="0" applyFont="1"/>
    <xf numFmtId="165" fontId="17" fillId="0" borderId="8" xfId="5" applyNumberFormat="1" applyFont="1" applyFill="1" applyBorder="1" applyAlignment="1">
      <alignment horizontal="right" vertical="center"/>
    </xf>
    <xf numFmtId="167" fontId="17" fillId="0" borderId="8" xfId="5" applyNumberFormat="1" applyFont="1" applyFill="1" applyBorder="1" applyAlignment="1">
      <alignment horizontal="right" vertical="center"/>
    </xf>
    <xf numFmtId="165" fontId="17" fillId="11" borderId="0" xfId="5" applyNumberFormat="1" applyFont="1" applyFill="1" applyBorder="1" applyAlignment="1">
      <alignment horizontal="right" vertical="center"/>
    </xf>
    <xf numFmtId="0" fontId="17" fillId="0" borderId="9" xfId="4" applyFont="1" applyBorder="1" applyAlignment="1">
      <alignment horizontal="left" indent="1"/>
    </xf>
    <xf numFmtId="165" fontId="17" fillId="0" borderId="9" xfId="5" applyNumberFormat="1" applyFont="1" applyFill="1" applyBorder="1" applyAlignment="1">
      <alignment horizontal="right" vertical="center"/>
    </xf>
    <xf numFmtId="167" fontId="17" fillId="0" borderId="9" xfId="5" applyNumberFormat="1" applyFont="1" applyFill="1" applyBorder="1" applyAlignment="1">
      <alignment horizontal="right" vertical="center"/>
    </xf>
    <xf numFmtId="0" fontId="17" fillId="0" borderId="9" xfId="4" applyFont="1" applyBorder="1"/>
    <xf numFmtId="0" fontId="12" fillId="11" borderId="0" xfId="0" applyFont="1" applyFill="1"/>
    <xf numFmtId="0" fontId="17" fillId="11" borderId="0" xfId="4" applyFont="1" applyFill="1"/>
    <xf numFmtId="0" fontId="19" fillId="11" borderId="0" xfId="4" applyFont="1" applyFill="1"/>
    <xf numFmtId="0" fontId="17" fillId="11" borderId="0" xfId="0" applyFont="1" applyFill="1"/>
    <xf numFmtId="0" fontId="6" fillId="7" borderId="12" xfId="4" applyFont="1" applyFill="1" applyBorder="1"/>
    <xf numFmtId="0" fontId="19" fillId="2" borderId="16" xfId="0" applyFont="1" applyFill="1" applyBorder="1" applyAlignment="1">
      <alignment vertical="center"/>
    </xf>
    <xf numFmtId="170" fontId="6" fillId="3" borderId="18" xfId="5" applyNumberFormat="1" applyFont="1" applyFill="1" applyBorder="1" applyAlignment="1">
      <alignment horizontal="right" vertical="center" indent="1"/>
    </xf>
    <xf numFmtId="170" fontId="19" fillId="15" borderId="0" xfId="5" applyNumberFormat="1" applyFont="1" applyFill="1" applyBorder="1" applyAlignment="1">
      <alignment horizontal="right" vertical="center" indent="1"/>
    </xf>
    <xf numFmtId="170" fontId="19" fillId="15" borderId="15" xfId="5" applyNumberFormat="1" applyFont="1" applyFill="1" applyBorder="1" applyAlignment="1">
      <alignment horizontal="right" vertical="center" indent="1"/>
    </xf>
    <xf numFmtId="170" fontId="17" fillId="0" borderId="0" xfId="5" applyNumberFormat="1" applyFont="1" applyFill="1" applyBorder="1" applyAlignment="1">
      <alignment horizontal="right" vertical="center" indent="1"/>
    </xf>
    <xf numFmtId="0" fontId="20" fillId="0" borderId="0" xfId="0" applyFont="1"/>
    <xf numFmtId="0" fontId="19" fillId="11" borderId="15" xfId="4" applyFont="1" applyFill="1" applyBorder="1"/>
    <xf numFmtId="0" fontId="19" fillId="11" borderId="19" xfId="4" applyFont="1" applyFill="1" applyBorder="1"/>
    <xf numFmtId="0" fontId="18" fillId="11" borderId="0" xfId="4" applyFont="1" applyFill="1" applyAlignment="1">
      <alignment horizontal="left" indent="1"/>
    </xf>
    <xf numFmtId="169" fontId="17" fillId="11" borderId="0" xfId="5" applyNumberFormat="1" applyFont="1" applyFill="1" applyBorder="1" applyAlignment="1">
      <alignment horizontal="right" vertical="center" indent="2"/>
    </xf>
    <xf numFmtId="171" fontId="17" fillId="0" borderId="0" xfId="0" applyNumberFormat="1" applyFont="1" applyAlignment="1">
      <alignment horizontal="right"/>
    </xf>
    <xf numFmtId="0" fontId="6" fillId="7" borderId="0" xfId="4" applyFont="1" applyFill="1"/>
    <xf numFmtId="169" fontId="6" fillId="7" borderId="0" xfId="5" applyNumberFormat="1" applyFont="1" applyFill="1" applyBorder="1" applyAlignment="1">
      <alignment horizontal="right" vertical="center" indent="2"/>
    </xf>
    <xf numFmtId="169" fontId="19" fillId="11" borderId="15" xfId="5" applyNumberFormat="1" applyFont="1" applyFill="1" applyBorder="1" applyAlignment="1">
      <alignment horizontal="right" vertical="center" indent="2"/>
    </xf>
    <xf numFmtId="171" fontId="19" fillId="0" borderId="15" xfId="0" applyNumberFormat="1" applyFont="1" applyBorder="1" applyAlignment="1">
      <alignment horizontal="right"/>
    </xf>
    <xf numFmtId="171" fontId="19" fillId="0" borderId="19" xfId="0" applyNumberFormat="1" applyFont="1" applyBorder="1" applyAlignment="1">
      <alignment horizontal="right"/>
    </xf>
    <xf numFmtId="169" fontId="19" fillId="15" borderId="19" xfId="5" applyNumberFormat="1" applyFont="1" applyFill="1" applyBorder="1" applyAlignment="1">
      <alignment horizontal="right" vertical="center" indent="2"/>
    </xf>
    <xf numFmtId="171" fontId="19" fillId="15" borderId="19" xfId="0" applyNumberFormat="1" applyFont="1" applyFill="1" applyBorder="1" applyAlignment="1">
      <alignment horizontal="right"/>
    </xf>
    <xf numFmtId="169" fontId="19" fillId="15" borderId="0" xfId="5" applyNumberFormat="1" applyFont="1" applyFill="1" applyBorder="1" applyAlignment="1">
      <alignment horizontal="right" vertical="center" indent="2"/>
    </xf>
    <xf numFmtId="171" fontId="17" fillId="0" borderId="0" xfId="0" applyNumberFormat="1" applyFont="1" applyAlignment="1">
      <alignment horizontal="left"/>
    </xf>
    <xf numFmtId="167" fontId="17" fillId="0" borderId="0" xfId="0" applyNumberFormat="1" applyFont="1" applyAlignment="1">
      <alignment horizontal="right"/>
    </xf>
    <xf numFmtId="170" fontId="6" fillId="3" borderId="0" xfId="5" applyNumberFormat="1" applyFont="1" applyFill="1" applyBorder="1" applyAlignment="1">
      <alignment horizontal="right" vertical="center" indent="1"/>
    </xf>
    <xf numFmtId="0" fontId="6" fillId="7" borderId="0" xfId="0" applyFont="1" applyFill="1" applyAlignment="1">
      <alignment vertical="center"/>
    </xf>
    <xf numFmtId="0" fontId="6" fillId="3" borderId="0" xfId="0" applyFont="1" applyFill="1" applyAlignment="1">
      <alignment vertical="center"/>
    </xf>
    <xf numFmtId="0" fontId="17" fillId="0" borderId="0" xfId="4" applyFont="1" applyAlignment="1">
      <alignment horizontal="left" indent="2"/>
    </xf>
    <xf numFmtId="0" fontId="17" fillId="11" borderId="0" xfId="4" applyFont="1" applyFill="1" applyAlignment="1">
      <alignment horizontal="left"/>
    </xf>
    <xf numFmtId="0" fontId="0" fillId="16" borderId="0" xfId="0" applyFill="1" applyAlignment="1">
      <alignment horizontal="left"/>
    </xf>
    <xf numFmtId="0" fontId="0" fillId="16" borderId="0" xfId="0" applyFill="1"/>
    <xf numFmtId="0" fontId="0" fillId="16" borderId="0" xfId="6" applyNumberFormat="1" applyFont="1" applyFill="1"/>
    <xf numFmtId="4" fontId="3" fillId="0" borderId="0" xfId="0" applyNumberFormat="1" applyFont="1"/>
    <xf numFmtId="4" fontId="13" fillId="0" borderId="0" xfId="0" quotePrefix="1" applyNumberFormat="1" applyFont="1" applyAlignment="1">
      <alignment horizontal="right"/>
    </xf>
    <xf numFmtId="0" fontId="23" fillId="0" borderId="0" xfId="0" applyFont="1"/>
    <xf numFmtId="4" fontId="24" fillId="0" borderId="0" xfId="0" applyNumberFormat="1" applyFont="1"/>
    <xf numFmtId="173" fontId="25" fillId="0" borderId="0" xfId="0" applyNumberFormat="1" applyFont="1"/>
    <xf numFmtId="4" fontId="26" fillId="0" borderId="0" xfId="0" quotePrefix="1" applyNumberFormat="1" applyFont="1" applyAlignment="1">
      <alignment horizontal="right"/>
    </xf>
    <xf numFmtId="173" fontId="3" fillId="0" borderId="0" xfId="0" applyNumberFormat="1" applyFont="1"/>
    <xf numFmtId="4" fontId="3" fillId="0" borderId="0" xfId="0" applyNumberFormat="1" applyFont="1" applyAlignment="1">
      <alignment horizontal="right"/>
    </xf>
    <xf numFmtId="0" fontId="17" fillId="8" borderId="9" xfId="4" applyFont="1" applyFill="1" applyBorder="1"/>
    <xf numFmtId="0" fontId="17" fillId="8" borderId="0" xfId="0" applyFont="1" applyFill="1"/>
    <xf numFmtId="165" fontId="17" fillId="8" borderId="9" xfId="5" applyNumberFormat="1" applyFont="1" applyFill="1" applyBorder="1" applyAlignment="1">
      <alignment horizontal="right" vertical="center"/>
    </xf>
    <xf numFmtId="167" fontId="17" fillId="8" borderId="9" xfId="5" applyNumberFormat="1" applyFont="1" applyFill="1" applyBorder="1" applyAlignment="1">
      <alignment horizontal="right" vertical="center"/>
    </xf>
    <xf numFmtId="0" fontId="17" fillId="5" borderId="9" xfId="4" applyFont="1" applyFill="1" applyBorder="1"/>
    <xf numFmtId="165" fontId="17" fillId="8" borderId="9" xfId="5" applyNumberFormat="1" applyFont="1" applyFill="1" applyBorder="1" applyAlignment="1">
      <alignment vertical="center"/>
    </xf>
    <xf numFmtId="167" fontId="17" fillId="8" borderId="9" xfId="5" applyNumberFormat="1" applyFont="1" applyFill="1" applyBorder="1" applyAlignment="1">
      <alignment vertical="center"/>
    </xf>
    <xf numFmtId="165" fontId="17" fillId="11" borderId="0" xfId="5" applyNumberFormat="1" applyFont="1" applyFill="1" applyBorder="1" applyAlignment="1">
      <alignment vertical="center"/>
    </xf>
    <xf numFmtId="0" fontId="19" fillId="0" borderId="9" xfId="4" applyFont="1" applyBorder="1"/>
    <xf numFmtId="0" fontId="19" fillId="0" borderId="0" xfId="0" applyFont="1"/>
    <xf numFmtId="165" fontId="19" fillId="0" borderId="9" xfId="5" applyNumberFormat="1" applyFont="1" applyFill="1" applyBorder="1" applyAlignment="1">
      <alignment horizontal="right" vertical="center"/>
    </xf>
    <xf numFmtId="167" fontId="19" fillId="0" borderId="9" xfId="5" applyNumberFormat="1" applyFont="1" applyFill="1" applyBorder="1" applyAlignment="1">
      <alignment horizontal="right" vertical="center"/>
    </xf>
    <xf numFmtId="165" fontId="19" fillId="11" borderId="0" xfId="5" applyNumberFormat="1" applyFont="1" applyFill="1" applyBorder="1" applyAlignment="1">
      <alignment horizontal="right" vertical="center"/>
    </xf>
    <xf numFmtId="0" fontId="4" fillId="0" borderId="0" xfId="0" applyFont="1"/>
    <xf numFmtId="0" fontId="19" fillId="5" borderId="9" xfId="4" applyFont="1" applyFill="1" applyBorder="1"/>
    <xf numFmtId="165" fontId="19" fillId="8" borderId="9" xfId="5" applyNumberFormat="1" applyFont="1" applyFill="1" applyBorder="1" applyAlignment="1">
      <alignment vertical="center"/>
    </xf>
    <xf numFmtId="167" fontId="19" fillId="8" borderId="9" xfId="5" applyNumberFormat="1" applyFont="1" applyFill="1" applyBorder="1" applyAlignment="1">
      <alignment vertical="center"/>
    </xf>
    <xf numFmtId="165" fontId="19" fillId="11" borderId="0" xfId="5" applyNumberFormat="1" applyFont="1" applyFill="1" applyBorder="1" applyAlignment="1">
      <alignment vertical="center"/>
    </xf>
    <xf numFmtId="0" fontId="27" fillId="0" borderId="0" xfId="0" applyFont="1"/>
    <xf numFmtId="173" fontId="23" fillId="0" borderId="0" xfId="0" applyNumberFormat="1" applyFont="1" applyAlignment="1">
      <alignment horizontal="centerContinuous"/>
    </xf>
    <xf numFmtId="0" fontId="0" fillId="0" borderId="0" xfId="0" applyAlignment="1">
      <alignment horizontal="centerContinuous"/>
    </xf>
    <xf numFmtId="0" fontId="17" fillId="5" borderId="9" xfId="4" applyFont="1" applyFill="1" applyBorder="1" applyAlignment="1">
      <alignment horizontal="left" indent="1"/>
    </xf>
    <xf numFmtId="0" fontId="6" fillId="3" borderId="9" xfId="4" applyFont="1" applyFill="1" applyBorder="1"/>
    <xf numFmtId="165" fontId="6" fillId="3" borderId="9" xfId="5" applyNumberFormat="1" applyFont="1" applyFill="1" applyBorder="1" applyAlignment="1">
      <alignment horizontal="right" vertical="center"/>
    </xf>
    <xf numFmtId="167" fontId="6" fillId="3" borderId="9" xfId="5" applyNumberFormat="1" applyFont="1" applyFill="1" applyBorder="1" applyAlignment="1">
      <alignment horizontal="right" vertical="center"/>
    </xf>
    <xf numFmtId="169" fontId="19" fillId="15" borderId="17" xfId="5" applyNumberFormat="1" applyFont="1" applyFill="1" applyBorder="1" applyAlignment="1">
      <alignment horizontal="right" vertical="center" indent="2"/>
    </xf>
    <xf numFmtId="169" fontId="19" fillId="15" borderId="16" xfId="5" applyNumberFormat="1" applyFont="1" applyFill="1" applyBorder="1" applyAlignment="1">
      <alignment horizontal="right" vertical="center" indent="2"/>
    </xf>
    <xf numFmtId="169" fontId="6" fillId="7" borderId="13" xfId="5" applyNumberFormat="1" applyFont="1" applyFill="1" applyBorder="1" applyAlignment="1">
      <alignment horizontal="right" vertical="center" indent="2"/>
    </xf>
    <xf numFmtId="0" fontId="6" fillId="3" borderId="0" xfId="0" applyFont="1" applyFill="1" applyAlignment="1">
      <alignment horizontal="left" wrapText="1"/>
    </xf>
    <xf numFmtId="169" fontId="19" fillId="0" borderId="0" xfId="5" applyNumberFormat="1" applyFont="1" applyFill="1" applyBorder="1" applyAlignment="1">
      <alignment horizontal="right" vertical="center" indent="2"/>
    </xf>
    <xf numFmtId="0" fontId="0" fillId="15" borderId="0" xfId="0" applyFill="1"/>
    <xf numFmtId="169" fontId="17" fillId="15" borderId="0" xfId="5" applyNumberFormat="1" applyFont="1" applyFill="1" applyBorder="1" applyAlignment="1">
      <alignment horizontal="right" vertical="center" indent="2"/>
    </xf>
    <xf numFmtId="169" fontId="6" fillId="15" borderId="0" xfId="5" applyNumberFormat="1" applyFont="1" applyFill="1" applyBorder="1" applyAlignment="1">
      <alignment horizontal="right" vertical="center" indent="2"/>
    </xf>
    <xf numFmtId="169" fontId="18" fillId="15" borderId="0" xfId="5" applyNumberFormat="1" applyFont="1" applyFill="1" applyBorder="1" applyAlignment="1">
      <alignment horizontal="left" vertical="center" indent="3"/>
    </xf>
    <xf numFmtId="0" fontId="0" fillId="15" borderId="0" xfId="0" applyFill="1" applyAlignment="1">
      <alignment horizontal="left" indent="1"/>
    </xf>
    <xf numFmtId="170" fontId="18" fillId="0" borderId="0" xfId="5" applyNumberFormat="1" applyFont="1" applyFill="1" applyBorder="1" applyAlignment="1">
      <alignment horizontal="left" vertical="center" indent="2"/>
    </xf>
    <xf numFmtId="169" fontId="19" fillId="15" borderId="17" xfId="5" applyNumberFormat="1" applyFont="1" applyFill="1" applyBorder="1" applyAlignment="1">
      <alignment vertical="center"/>
    </xf>
    <xf numFmtId="167" fontId="19" fillId="15" borderId="17" xfId="5" applyNumberFormat="1" applyFont="1" applyFill="1" applyBorder="1" applyAlignment="1">
      <alignment vertical="center"/>
    </xf>
    <xf numFmtId="169" fontId="17" fillId="11" borderId="0" xfId="5" applyNumberFormat="1" applyFont="1" applyFill="1" applyBorder="1" applyAlignment="1">
      <alignment vertical="center"/>
    </xf>
    <xf numFmtId="169" fontId="19" fillId="15" borderId="16" xfId="5" applyNumberFormat="1" applyFont="1" applyFill="1" applyBorder="1" applyAlignment="1">
      <alignment vertical="center"/>
    </xf>
    <xf numFmtId="167" fontId="19" fillId="15" borderId="16" xfId="5" applyNumberFormat="1" applyFont="1" applyFill="1" applyBorder="1" applyAlignment="1">
      <alignment vertical="center"/>
    </xf>
    <xf numFmtId="169" fontId="6" fillId="7" borderId="13" xfId="5" applyNumberFormat="1" applyFont="1" applyFill="1" applyBorder="1" applyAlignment="1">
      <alignment vertical="center"/>
    </xf>
    <xf numFmtId="167" fontId="6" fillId="7" borderId="14" xfId="5" applyNumberFormat="1" applyFont="1" applyFill="1" applyBorder="1" applyAlignment="1">
      <alignment vertical="center"/>
    </xf>
    <xf numFmtId="169" fontId="18" fillId="11" borderId="0" xfId="5" applyNumberFormat="1" applyFont="1" applyFill="1" applyBorder="1" applyAlignment="1">
      <alignment horizontal="left" vertical="center" indent="1"/>
    </xf>
    <xf numFmtId="0" fontId="9" fillId="7" borderId="0" xfId="0" applyFont="1" applyFill="1" applyAlignment="1">
      <alignment horizontal="left"/>
    </xf>
    <xf numFmtId="0" fontId="9" fillId="3" borderId="0" xfId="0" applyFont="1" applyFill="1" applyAlignment="1">
      <alignment horizontal="left" wrapText="1"/>
    </xf>
    <xf numFmtId="0" fontId="29" fillId="0" borderId="0" xfId="7" applyFont="1"/>
    <xf numFmtId="0" fontId="29" fillId="12" borderId="0" xfId="7" applyFont="1" applyFill="1"/>
    <xf numFmtId="0" fontId="3" fillId="0" borderId="0" xfId="0" applyFont="1" applyAlignment="1">
      <alignment horizontal="left" indent="1"/>
    </xf>
    <xf numFmtId="0" fontId="30" fillId="0" borderId="0" xfId="0" applyFont="1"/>
    <xf numFmtId="167" fontId="17" fillId="18" borderId="0" xfId="5" applyNumberFormat="1" applyFont="1" applyFill="1" applyBorder="1" applyAlignment="1">
      <alignment vertical="center"/>
    </xf>
    <xf numFmtId="167" fontId="18" fillId="18" borderId="0" xfId="5" applyNumberFormat="1" applyFont="1" applyFill="1" applyBorder="1" applyAlignment="1">
      <alignment horizontal="left" vertical="center" indent="1"/>
    </xf>
    <xf numFmtId="0" fontId="31" fillId="0" borderId="0" xfId="0" applyFont="1"/>
    <xf numFmtId="0" fontId="17" fillId="0" borderId="0" xfId="4" applyFont="1"/>
    <xf numFmtId="0" fontId="19" fillId="2" borderId="0" xfId="0" applyFont="1" applyFill="1" applyAlignment="1">
      <alignment vertical="center"/>
    </xf>
    <xf numFmtId="0" fontId="6" fillId="0" borderId="0" xfId="0" applyFont="1" applyAlignment="1">
      <alignment horizontal="right" wrapText="1"/>
    </xf>
    <xf numFmtId="171" fontId="19" fillId="0" borderId="0" xfId="0" applyNumberFormat="1" applyFont="1" applyAlignment="1">
      <alignment horizontal="right"/>
    </xf>
    <xf numFmtId="171" fontId="6" fillId="0" borderId="0" xfId="0" applyNumberFormat="1" applyFont="1" applyAlignment="1">
      <alignment horizontal="right"/>
    </xf>
    <xf numFmtId="169" fontId="19" fillId="11" borderId="15" xfId="5" applyNumberFormat="1" applyFont="1" applyFill="1" applyBorder="1" applyAlignment="1">
      <alignment vertical="center"/>
    </xf>
    <xf numFmtId="169" fontId="19" fillId="11" borderId="19" xfId="5" applyNumberFormat="1" applyFont="1" applyFill="1" applyBorder="1" applyAlignment="1">
      <alignment vertical="center"/>
    </xf>
    <xf numFmtId="169" fontId="19" fillId="15" borderId="19" xfId="5" applyNumberFormat="1" applyFont="1" applyFill="1" applyBorder="1" applyAlignment="1">
      <alignment vertical="center"/>
    </xf>
    <xf numFmtId="167" fontId="19" fillId="15" borderId="19" xfId="0" applyNumberFormat="1" applyFont="1" applyFill="1" applyBorder="1"/>
    <xf numFmtId="169" fontId="19" fillId="15" borderId="0" xfId="5" applyNumberFormat="1" applyFont="1" applyFill="1" applyBorder="1" applyAlignment="1">
      <alignment vertical="center"/>
    </xf>
    <xf numFmtId="167" fontId="19" fillId="15" borderId="0" xfId="0" applyNumberFormat="1" applyFont="1" applyFill="1"/>
    <xf numFmtId="169" fontId="6" fillId="7" borderId="0" xfId="5" applyNumberFormat="1" applyFont="1" applyFill="1" applyBorder="1" applyAlignment="1">
      <alignment vertical="center"/>
    </xf>
    <xf numFmtId="167" fontId="17" fillId="18" borderId="22" xfId="5" applyNumberFormat="1" applyFont="1" applyFill="1" applyBorder="1" applyAlignment="1">
      <alignment vertical="center"/>
    </xf>
    <xf numFmtId="169" fontId="17" fillId="0" borderId="0" xfId="5" applyNumberFormat="1" applyFont="1" applyFill="1" applyBorder="1" applyAlignment="1">
      <alignment horizontal="right" vertical="center" indent="2"/>
    </xf>
    <xf numFmtId="169" fontId="6" fillId="7" borderId="16" xfId="5" applyNumberFormat="1" applyFont="1" applyFill="1" applyBorder="1" applyAlignment="1">
      <alignment horizontal="right" vertical="center" indent="2"/>
    </xf>
    <xf numFmtId="169" fontId="6" fillId="0" borderId="0" xfId="5" applyNumberFormat="1" applyFont="1" applyFill="1" applyBorder="1" applyAlignment="1">
      <alignment horizontal="right" vertical="center" indent="2"/>
    </xf>
    <xf numFmtId="0" fontId="19" fillId="0" borderId="0" xfId="4" applyFont="1"/>
    <xf numFmtId="169" fontId="17" fillId="11" borderId="0" xfId="5" applyNumberFormat="1" applyFont="1" applyFill="1" applyBorder="1" applyAlignment="1">
      <alignment horizontal="right" vertical="center"/>
    </xf>
    <xf numFmtId="167" fontId="6" fillId="7" borderId="0" xfId="0" applyNumberFormat="1" applyFont="1" applyFill="1" applyAlignment="1">
      <alignment vertical="center"/>
    </xf>
    <xf numFmtId="167" fontId="17" fillId="18" borderId="0" xfId="5" applyNumberFormat="1" applyFont="1" applyFill="1" applyBorder="1" applyAlignment="1">
      <alignment horizontal="right" vertical="center"/>
    </xf>
    <xf numFmtId="0" fontId="6" fillId="7" borderId="12" xfId="4" applyFont="1" applyFill="1" applyBorder="1" applyAlignment="1">
      <alignment vertical="center"/>
    </xf>
    <xf numFmtId="169" fontId="32" fillId="11" borderId="0" xfId="5" applyNumberFormat="1" applyFont="1" applyFill="1" applyBorder="1" applyAlignment="1">
      <alignment horizontal="left" vertical="center" indent="1"/>
    </xf>
    <xf numFmtId="167" fontId="32" fillId="18" borderId="0" xfId="5" applyNumberFormat="1" applyFont="1" applyFill="1" applyBorder="1" applyAlignment="1">
      <alignment horizontal="left" vertical="center" indent="1"/>
    </xf>
    <xf numFmtId="169" fontId="32" fillId="11" borderId="0" xfId="5" applyNumberFormat="1" applyFont="1" applyFill="1" applyBorder="1" applyAlignment="1">
      <alignment horizontal="left" vertical="center" indent="3"/>
    </xf>
    <xf numFmtId="169" fontId="32" fillId="15" borderId="0" xfId="5" applyNumberFormat="1" applyFont="1" applyFill="1" applyBorder="1" applyAlignment="1">
      <alignment horizontal="left" vertical="center" indent="3"/>
    </xf>
    <xf numFmtId="0" fontId="12" fillId="15" borderId="0" xfId="0" applyFont="1" applyFill="1" applyAlignment="1">
      <alignment horizontal="left" indent="1"/>
    </xf>
    <xf numFmtId="0" fontId="6" fillId="7" borderId="20" xfId="4" applyFont="1" applyFill="1" applyBorder="1" applyAlignment="1">
      <alignment horizontal="left" vertical="center"/>
    </xf>
    <xf numFmtId="0" fontId="6" fillId="3" borderId="20" xfId="4" applyFont="1" applyFill="1" applyBorder="1" applyAlignment="1">
      <alignment horizontal="left" vertical="center"/>
    </xf>
    <xf numFmtId="0" fontId="0" fillId="15" borderId="0" xfId="0" applyFill="1" applyAlignment="1">
      <alignment vertical="center"/>
    </xf>
    <xf numFmtId="4" fontId="0" fillId="0" borderId="0" xfId="0" applyNumberFormat="1"/>
    <xf numFmtId="174" fontId="6" fillId="17" borderId="21" xfId="0" applyNumberFormat="1" applyFont="1" applyFill="1" applyBorder="1" applyAlignment="1">
      <alignment horizontal="centerContinuous"/>
    </xf>
    <xf numFmtId="174" fontId="12" fillId="17" borderId="21" xfId="0" applyNumberFormat="1" applyFont="1" applyFill="1" applyBorder="1" applyAlignment="1">
      <alignment horizontal="centerContinuous"/>
    </xf>
    <xf numFmtId="174" fontId="6" fillId="3" borderId="21" xfId="0" applyNumberFormat="1" applyFont="1" applyFill="1" applyBorder="1" applyAlignment="1">
      <alignment horizontal="centerContinuous"/>
    </xf>
    <xf numFmtId="174" fontId="12" fillId="3" borderId="21" xfId="0" applyNumberFormat="1" applyFont="1" applyFill="1" applyBorder="1" applyAlignment="1">
      <alignment horizontal="centerContinuous"/>
    </xf>
    <xf numFmtId="4" fontId="18" fillId="0" borderId="0" xfId="0" applyNumberFormat="1" applyFont="1"/>
    <xf numFmtId="4" fontId="6" fillId="17" borderId="0" xfId="0" applyNumberFormat="1" applyFont="1" applyFill="1" applyAlignment="1">
      <alignment horizontal="right" wrapText="1"/>
    </xf>
    <xf numFmtId="4" fontId="6" fillId="3" borderId="0" xfId="0" applyNumberFormat="1" applyFont="1" applyFill="1" applyAlignment="1">
      <alignment horizontal="right" wrapText="1"/>
    </xf>
    <xf numFmtId="4" fontId="17" fillId="11" borderId="0" xfId="0" applyNumberFormat="1" applyFont="1" applyFill="1"/>
    <xf numFmtId="3" fontId="17" fillId="11" borderId="0" xfId="0" applyNumberFormat="1" applyFont="1" applyFill="1" applyAlignment="1">
      <alignment horizontal="right"/>
    </xf>
    <xf numFmtId="10" fontId="17" fillId="11" borderId="0" xfId="6" applyNumberFormat="1" applyFont="1" applyFill="1" applyBorder="1" applyAlignment="1">
      <alignment horizontal="right"/>
    </xf>
    <xf numFmtId="4" fontId="3" fillId="0" borderId="0" xfId="0" applyNumberFormat="1" applyFont="1" applyAlignment="1">
      <alignment vertical="center"/>
    </xf>
    <xf numFmtId="4" fontId="6" fillId="10" borderId="0" xfId="0" applyNumberFormat="1" applyFont="1" applyFill="1" applyAlignment="1">
      <alignment horizontal="left" vertical="center"/>
    </xf>
    <xf numFmtId="172" fontId="6" fillId="17" borderId="0" xfId="6" applyNumberFormat="1" applyFont="1" applyFill="1" applyBorder="1" applyAlignment="1">
      <alignment horizontal="right"/>
    </xf>
    <xf numFmtId="172" fontId="6" fillId="3" borderId="0" xfId="6" applyNumberFormat="1" applyFont="1" applyFill="1" applyBorder="1" applyAlignment="1">
      <alignment horizontal="right"/>
    </xf>
    <xf numFmtId="4" fontId="12" fillId="10" borderId="0" xfId="0" applyNumberFormat="1" applyFont="1" applyFill="1" applyAlignment="1">
      <alignment horizontal="left" vertical="center" wrapText="1"/>
    </xf>
    <xf numFmtId="3" fontId="12" fillId="17" borderId="0" xfId="0" applyNumberFormat="1" applyFont="1" applyFill="1" applyAlignment="1">
      <alignment horizontal="right"/>
    </xf>
    <xf numFmtId="3" fontId="12" fillId="3" borderId="0" xfId="0" applyNumberFormat="1" applyFont="1" applyFill="1" applyAlignment="1">
      <alignment horizontal="right"/>
    </xf>
    <xf numFmtId="0" fontId="18" fillId="0" borderId="0" xfId="0" applyFont="1"/>
    <xf numFmtId="3" fontId="6" fillId="17" borderId="0" xfId="0" applyNumberFormat="1" applyFont="1" applyFill="1" applyAlignment="1">
      <alignment horizontal="right" vertical="center"/>
    </xf>
    <xf numFmtId="172" fontId="6" fillId="17" borderId="0" xfId="6" applyNumberFormat="1" applyFont="1" applyFill="1" applyBorder="1" applyAlignment="1">
      <alignment horizontal="right" vertical="center"/>
    </xf>
    <xf numFmtId="3" fontId="6" fillId="3" borderId="0" xfId="0" applyNumberFormat="1" applyFont="1" applyFill="1" applyAlignment="1">
      <alignment horizontal="right" vertical="center"/>
    </xf>
    <xf numFmtId="172" fontId="6" fillId="3" borderId="0" xfId="6" applyNumberFormat="1" applyFont="1" applyFill="1" applyBorder="1" applyAlignment="1">
      <alignment horizontal="right" vertical="center"/>
    </xf>
    <xf numFmtId="0" fontId="21" fillId="0" borderId="0" xfId="0" applyFont="1"/>
    <xf numFmtId="0" fontId="34" fillId="7" borderId="0" xfId="0" applyFont="1" applyFill="1" applyAlignment="1">
      <alignment horizontal="left"/>
    </xf>
    <xf numFmtId="0" fontId="34" fillId="3" borderId="0" xfId="0" applyFont="1" applyFill="1" applyAlignment="1">
      <alignment horizontal="left" wrapText="1"/>
    </xf>
    <xf numFmtId="0" fontId="8" fillId="0" borderId="0" xfId="4" applyFont="1"/>
    <xf numFmtId="0" fontId="14" fillId="0" borderId="0" xfId="0" applyFont="1" applyAlignment="1">
      <alignment vertical="center"/>
    </xf>
    <xf numFmtId="0" fontId="9" fillId="7" borderId="0" xfId="4" applyFont="1" applyFill="1"/>
    <xf numFmtId="0" fontId="18" fillId="0" borderId="0" xfId="4" applyFont="1"/>
    <xf numFmtId="169" fontId="9" fillId="7" borderId="0" xfId="5" applyNumberFormat="1" applyFont="1" applyFill="1" applyBorder="1" applyAlignment="1">
      <alignment horizontal="right" vertical="center" indent="2"/>
    </xf>
    <xf numFmtId="169" fontId="35" fillId="15" borderId="0" xfId="5" applyNumberFormat="1" applyFont="1" applyFill="1" applyBorder="1" applyAlignment="1">
      <alignment horizontal="right" vertical="center" indent="2"/>
    </xf>
    <xf numFmtId="169" fontId="9" fillId="15" borderId="0" xfId="5" applyNumberFormat="1" applyFont="1" applyFill="1" applyBorder="1" applyAlignment="1">
      <alignment horizontal="right" vertical="center" indent="2"/>
    </xf>
    <xf numFmtId="173" fontId="33" fillId="0" borderId="0" xfId="0" applyNumberFormat="1" applyFont="1" applyAlignment="1">
      <alignment horizontal="centerContinuous"/>
    </xf>
    <xf numFmtId="0" fontId="17" fillId="0" borderId="0" xfId="0" applyFont="1" applyAlignment="1">
      <alignment horizontal="left" indent="1"/>
    </xf>
    <xf numFmtId="0" fontId="17" fillId="0" borderId="15" xfId="0" applyFont="1" applyBorder="1" applyAlignment="1">
      <alignment horizontal="left" indent="1"/>
    </xf>
    <xf numFmtId="0" fontId="6" fillId="0" borderId="0" xfId="0" applyFont="1" applyAlignment="1">
      <alignment vertical="center"/>
    </xf>
    <xf numFmtId="0" fontId="36" fillId="0" borderId="0" xfId="0" applyFont="1"/>
    <xf numFmtId="173" fontId="8" fillId="0" borderId="0" xfId="0" applyNumberFormat="1" applyFont="1" applyAlignment="1">
      <alignment horizontal="left"/>
    </xf>
    <xf numFmtId="0" fontId="8" fillId="0" borderId="0" xfId="0" applyFont="1" applyAlignment="1">
      <alignment horizontal="left"/>
    </xf>
    <xf numFmtId="14" fontId="36" fillId="0" borderId="0" xfId="0" applyNumberFormat="1" applyFont="1"/>
    <xf numFmtId="0" fontId="19" fillId="2" borderId="16" xfId="0" applyFont="1" applyFill="1" applyBorder="1"/>
    <xf numFmtId="0" fontId="6" fillId="7" borderId="0" xfId="0" applyFont="1" applyFill="1" applyAlignment="1">
      <alignment horizontal="left" vertical="center"/>
    </xf>
    <xf numFmtId="171" fontId="6" fillId="3" borderId="0" xfId="0" applyNumberFormat="1" applyFont="1" applyFill="1" applyAlignment="1">
      <alignment horizontal="right" vertical="center"/>
    </xf>
    <xf numFmtId="0" fontId="32" fillId="0" borderId="0" xfId="4" applyFont="1"/>
    <xf numFmtId="171" fontId="9" fillId="0" borderId="0" xfId="0" applyNumberFormat="1" applyFont="1" applyAlignment="1">
      <alignment horizontal="right"/>
    </xf>
    <xf numFmtId="169" fontId="17" fillId="15" borderId="0" xfId="5" applyNumberFormat="1" applyFont="1" applyFill="1" applyBorder="1" applyAlignment="1">
      <alignment horizontal="right" vertical="center"/>
    </xf>
    <xf numFmtId="0" fontId="6" fillId="7" borderId="0" xfId="4" applyFont="1" applyFill="1" applyAlignment="1">
      <alignment vertical="center"/>
    </xf>
    <xf numFmtId="169" fontId="6" fillId="7" borderId="0" xfId="5" applyNumberFormat="1" applyFont="1" applyFill="1" applyBorder="1" applyAlignment="1">
      <alignment horizontal="right" vertical="center"/>
    </xf>
    <xf numFmtId="169" fontId="9" fillId="7" borderId="0" xfId="5" applyNumberFormat="1" applyFont="1" applyFill="1" applyBorder="1" applyAlignment="1">
      <alignment horizontal="right" vertical="center" indent="1"/>
    </xf>
    <xf numFmtId="169" fontId="35" fillId="15" borderId="0" xfId="5" applyNumberFormat="1" applyFont="1" applyFill="1" applyBorder="1" applyAlignment="1">
      <alignment horizontal="right" vertical="center" indent="1"/>
    </xf>
    <xf numFmtId="169" fontId="9" fillId="15" borderId="0" xfId="5" applyNumberFormat="1" applyFont="1" applyFill="1" applyBorder="1" applyAlignment="1">
      <alignment horizontal="right" vertical="center" indent="1"/>
    </xf>
    <xf numFmtId="167" fontId="9" fillId="7" borderId="0" xfId="0" applyNumberFormat="1" applyFont="1" applyFill="1" applyAlignment="1">
      <alignment horizontal="right" indent="1"/>
    </xf>
    <xf numFmtId="0" fontId="6" fillId="3" borderId="0" xfId="4" applyFont="1" applyFill="1" applyAlignment="1">
      <alignment vertical="center"/>
    </xf>
    <xf numFmtId="0" fontId="9" fillId="3" borderId="0" xfId="4" applyFont="1" applyFill="1" applyAlignment="1">
      <alignment horizontal="left" indent="1"/>
    </xf>
    <xf numFmtId="171" fontId="9" fillId="3" borderId="0" xfId="0" applyNumberFormat="1" applyFont="1" applyFill="1" applyAlignment="1">
      <alignment horizontal="right" indent="1"/>
    </xf>
    <xf numFmtId="169" fontId="17" fillId="0" borderId="0" xfId="5" applyNumberFormat="1" applyFont="1" applyFill="1" applyBorder="1" applyAlignment="1">
      <alignment vertical="center"/>
    </xf>
    <xf numFmtId="167" fontId="17" fillId="0" borderId="0" xfId="0" applyNumberFormat="1" applyFont="1"/>
    <xf numFmtId="169" fontId="6" fillId="7" borderId="16" xfId="5" applyNumberFormat="1" applyFont="1" applyFill="1" applyBorder="1" applyAlignment="1">
      <alignment vertical="center"/>
    </xf>
    <xf numFmtId="170" fontId="17" fillId="0" borderId="0" xfId="5" applyNumberFormat="1" applyFont="1" applyFill="1" applyBorder="1" applyAlignment="1">
      <alignment vertical="center"/>
    </xf>
    <xf numFmtId="170" fontId="6" fillId="3" borderId="0" xfId="5" applyNumberFormat="1" applyFont="1" applyFill="1" applyBorder="1" applyAlignment="1">
      <alignment vertical="center"/>
    </xf>
    <xf numFmtId="0" fontId="22" fillId="0" borderId="0" xfId="0" applyFont="1"/>
    <xf numFmtId="0" fontId="22" fillId="11" borderId="0" xfId="0" applyFont="1" applyFill="1"/>
    <xf numFmtId="175" fontId="22" fillId="0" borderId="0" xfId="0" applyNumberFormat="1" applyFont="1"/>
    <xf numFmtId="167" fontId="8" fillId="0" borderId="0" xfId="0" applyNumberFormat="1" applyFont="1"/>
    <xf numFmtId="0" fontId="8" fillId="11" borderId="0" xfId="0" applyFont="1" applyFill="1"/>
    <xf numFmtId="0" fontId="8" fillId="0" borderId="0" xfId="0" applyFont="1" applyAlignment="1">
      <alignment horizontal="right"/>
    </xf>
    <xf numFmtId="167" fontId="21" fillId="0" borderId="0" xfId="0" applyNumberFormat="1" applyFont="1"/>
    <xf numFmtId="0" fontId="21" fillId="11" borderId="0" xfId="0" applyFont="1" applyFill="1"/>
    <xf numFmtId="173" fontId="8" fillId="0" borderId="0" xfId="0" applyNumberFormat="1" applyFont="1" applyAlignment="1">
      <alignment horizontal="right"/>
    </xf>
    <xf numFmtId="0" fontId="17" fillId="0" borderId="0" xfId="4" applyFont="1" applyAlignment="1">
      <alignment horizontal="left"/>
    </xf>
    <xf numFmtId="165" fontId="17" fillId="0" borderId="0" xfId="5" applyNumberFormat="1" applyFont="1" applyFill="1" applyBorder="1" applyAlignment="1">
      <alignment horizontal="right"/>
    </xf>
    <xf numFmtId="169" fontId="17" fillId="0" borderId="0" xfId="5" applyNumberFormat="1" applyFont="1" applyFill="1" applyBorder="1" applyAlignment="1">
      <alignment horizontal="right"/>
    </xf>
    <xf numFmtId="165" fontId="6" fillId="19" borderId="0" xfId="5" applyNumberFormat="1" applyFont="1" applyFill="1" applyBorder="1" applyAlignment="1">
      <alignment horizontal="right" vertical="center"/>
    </xf>
    <xf numFmtId="0" fontId="14" fillId="0" borderId="0" xfId="4" applyFont="1" applyAlignment="1">
      <alignment vertical="center"/>
    </xf>
    <xf numFmtId="0" fontId="37" fillId="0" borderId="0" xfId="0" applyFont="1"/>
    <xf numFmtId="0" fontId="38" fillId="0" borderId="0" xfId="0" applyFont="1"/>
    <xf numFmtId="14" fontId="38" fillId="0" borderId="0" xfId="0" applyNumberFormat="1" applyFont="1" applyAlignment="1">
      <alignment horizontal="left"/>
    </xf>
    <xf numFmtId="0" fontId="39" fillId="0" borderId="0" xfId="0" applyFont="1"/>
    <xf numFmtId="169" fontId="17" fillId="11" borderId="15" xfId="5" applyNumberFormat="1" applyFont="1" applyFill="1" applyBorder="1" applyAlignment="1">
      <alignment vertical="center"/>
    </xf>
    <xf numFmtId="171" fontId="18" fillId="0" borderId="0" xfId="0" applyNumberFormat="1" applyFont="1" applyAlignment="1">
      <alignment horizontal="right" indent="1"/>
    </xf>
    <xf numFmtId="0" fontId="3" fillId="0" borderId="0" xfId="0" applyFont="1" applyAlignment="1">
      <alignment horizontal="right" indent="1"/>
    </xf>
    <xf numFmtId="171" fontId="18" fillId="0" borderId="0" xfId="0" applyNumberFormat="1" applyFont="1" applyAlignment="1">
      <alignment horizontal="left"/>
    </xf>
    <xf numFmtId="0" fontId="9" fillId="0" borderId="0" xfId="4" applyFont="1"/>
    <xf numFmtId="169" fontId="18" fillId="11" borderId="0" xfId="5" applyNumberFormat="1" applyFont="1" applyFill="1" applyBorder="1" applyAlignment="1">
      <alignment horizontal="right" vertical="center" indent="1"/>
    </xf>
    <xf numFmtId="167" fontId="18" fillId="18" borderId="0" xfId="5" applyNumberFormat="1" applyFont="1" applyFill="1" applyBorder="1" applyAlignment="1">
      <alignment horizontal="right" vertical="center" indent="1"/>
    </xf>
    <xf numFmtId="169" fontId="18" fillId="15" borderId="0" xfId="5" applyNumberFormat="1" applyFont="1" applyFill="1" applyBorder="1" applyAlignment="1">
      <alignment horizontal="right" vertical="center" indent="3"/>
    </xf>
    <xf numFmtId="169" fontId="17" fillId="15" borderId="0" xfId="5" applyNumberFormat="1" applyFont="1" applyFill="1" applyBorder="1" applyAlignment="1">
      <alignment horizontal="right" vertical="center" indent="3"/>
    </xf>
    <xf numFmtId="169" fontId="19" fillId="15" borderId="0" xfId="5" applyNumberFormat="1" applyFont="1" applyFill="1" applyBorder="1" applyAlignment="1">
      <alignment horizontal="right" vertical="center" indent="3"/>
    </xf>
    <xf numFmtId="169" fontId="17" fillId="15" borderId="0" xfId="5" applyNumberFormat="1" applyFont="1" applyFill="1" applyBorder="1" applyAlignment="1">
      <alignment vertical="center"/>
    </xf>
    <xf numFmtId="169" fontId="18" fillId="15" borderId="0" xfId="5" applyNumberFormat="1" applyFont="1" applyFill="1" applyBorder="1" applyAlignment="1">
      <alignment vertical="center"/>
    </xf>
    <xf numFmtId="170" fontId="19" fillId="15" borderId="15" xfId="5" applyNumberFormat="1" applyFont="1" applyFill="1" applyBorder="1" applyAlignment="1">
      <alignment vertical="center"/>
    </xf>
    <xf numFmtId="170" fontId="18" fillId="0" borderId="0" xfId="5" applyNumberFormat="1" applyFont="1" applyFill="1" applyBorder="1" applyAlignment="1">
      <alignment vertical="center"/>
    </xf>
    <xf numFmtId="170" fontId="19" fillId="15" borderId="0" xfId="5" applyNumberFormat="1" applyFont="1" applyFill="1" applyBorder="1" applyAlignment="1">
      <alignment vertical="center"/>
    </xf>
    <xf numFmtId="170" fontId="6" fillId="3" borderId="18" xfId="5" applyNumberFormat="1" applyFont="1" applyFill="1" applyBorder="1" applyAlignment="1">
      <alignment vertical="center"/>
    </xf>
    <xf numFmtId="170" fontId="18" fillId="0" borderId="0" xfId="5" applyNumberFormat="1" applyFont="1" applyFill="1" applyBorder="1" applyAlignment="1">
      <alignment horizontal="left" vertical="center" indent="1"/>
    </xf>
    <xf numFmtId="169" fontId="0" fillId="0" borderId="0" xfId="0" applyNumberFormat="1"/>
    <xf numFmtId="0" fontId="41" fillId="0" borderId="0" xfId="3" applyFont="1"/>
    <xf numFmtId="0" fontId="41" fillId="0" borderId="0" xfId="3" applyFont="1" applyFill="1"/>
    <xf numFmtId="178" fontId="17" fillId="11" borderId="0" xfId="5" applyNumberFormat="1" applyFont="1" applyFill="1" applyBorder="1" applyAlignment="1">
      <alignment vertical="center"/>
    </xf>
    <xf numFmtId="178" fontId="22" fillId="11" borderId="0" xfId="5" applyNumberFormat="1" applyFont="1" applyFill="1" applyBorder="1" applyAlignment="1">
      <alignment vertical="center"/>
    </xf>
    <xf numFmtId="170" fontId="22" fillId="0" borderId="0" xfId="5" applyNumberFormat="1" applyFont="1" applyFill="1" applyBorder="1" applyAlignment="1">
      <alignment horizontal="right" vertical="center" indent="1"/>
    </xf>
    <xf numFmtId="179" fontId="22" fillId="0" borderId="0" xfId="5" applyNumberFormat="1" applyFont="1" applyFill="1" applyBorder="1" applyAlignment="1">
      <alignment horizontal="right" vertical="center" indent="1"/>
    </xf>
    <xf numFmtId="169" fontId="11" fillId="11" borderId="0" xfId="5" applyNumberFormat="1" applyFont="1" applyFill="1" applyBorder="1" applyAlignment="1">
      <alignment vertical="center"/>
    </xf>
    <xf numFmtId="0" fontId="19" fillId="20" borderId="0" xfId="0" applyFont="1" applyFill="1" applyAlignment="1">
      <alignment horizontal="center"/>
    </xf>
    <xf numFmtId="174" fontId="6" fillId="10" borderId="21" xfId="0" applyNumberFormat="1" applyFont="1" applyFill="1" applyBorder="1" applyAlignment="1">
      <alignment horizontal="centerContinuous"/>
    </xf>
    <xf numFmtId="4" fontId="6" fillId="10" borderId="0" xfId="0" applyNumberFormat="1" applyFont="1" applyFill="1" applyAlignment="1">
      <alignment horizontal="right" wrapText="1"/>
    </xf>
    <xf numFmtId="3" fontId="6" fillId="10" borderId="0" xfId="0" applyNumberFormat="1" applyFont="1" applyFill="1" applyAlignment="1">
      <alignment horizontal="right" vertical="center"/>
    </xf>
    <xf numFmtId="172" fontId="6" fillId="10" borderId="0" xfId="6" applyNumberFormat="1" applyFont="1" applyFill="1" applyBorder="1" applyAlignment="1">
      <alignment horizontal="right" vertical="center"/>
    </xf>
    <xf numFmtId="3" fontId="12" fillId="10" borderId="0" xfId="0" applyNumberFormat="1" applyFont="1" applyFill="1" applyAlignment="1">
      <alignment horizontal="right"/>
    </xf>
    <xf numFmtId="172" fontId="6" fillId="10" borderId="0" xfId="6" applyNumberFormat="1" applyFont="1" applyFill="1" applyBorder="1" applyAlignment="1">
      <alignment horizontal="right"/>
    </xf>
    <xf numFmtId="174" fontId="12" fillId="10" borderId="21" xfId="0" applyNumberFormat="1" applyFont="1" applyFill="1" applyBorder="1" applyAlignment="1">
      <alignment horizontal="centerContinuous"/>
    </xf>
    <xf numFmtId="0" fontId="40" fillId="0" borderId="0" xfId="0" applyFont="1"/>
    <xf numFmtId="176" fontId="22" fillId="0" borderId="0" xfId="5" applyNumberFormat="1" applyFont="1" applyFill="1" applyBorder="1" applyAlignment="1">
      <alignment horizontal="right" vertical="center" indent="1"/>
    </xf>
    <xf numFmtId="176" fontId="22" fillId="0" borderId="0" xfId="0" applyNumberFormat="1" applyFont="1"/>
    <xf numFmtId="0" fontId="23" fillId="0" borderId="0" xfId="0" applyFont="1" applyAlignment="1">
      <alignment wrapText="1"/>
    </xf>
    <xf numFmtId="0" fontId="19" fillId="0" borderId="19" xfId="4" applyFont="1" applyBorder="1"/>
    <xf numFmtId="0" fontId="19" fillId="0" borderId="15" xfId="4" applyFont="1" applyBorder="1"/>
    <xf numFmtId="177" fontId="22" fillId="0" borderId="0" xfId="0" applyNumberFormat="1" applyFont="1" applyAlignment="1">
      <alignment horizontal="right" indent="1"/>
    </xf>
    <xf numFmtId="0" fontId="13" fillId="0" borderId="0" xfId="0" applyFont="1"/>
    <xf numFmtId="0" fontId="8" fillId="0" borderId="0" xfId="4" applyFont="1" applyAlignment="1">
      <alignment horizontal="right"/>
    </xf>
    <xf numFmtId="165" fontId="17" fillId="0" borderId="9" xfId="5" applyNumberFormat="1" applyFont="1" applyFill="1" applyBorder="1" applyAlignment="1">
      <alignment vertical="center"/>
    </xf>
    <xf numFmtId="0" fontId="44" fillId="0" borderId="0" xfId="0" applyFont="1"/>
    <xf numFmtId="167" fontId="19" fillId="15" borderId="16" xfId="5" applyNumberFormat="1" applyFont="1" applyFill="1" applyBorder="1" applyAlignment="1">
      <alignment horizontal="right" vertical="center"/>
    </xf>
    <xf numFmtId="0" fontId="8" fillId="4" borderId="0" xfId="4" applyFont="1" applyFill="1"/>
    <xf numFmtId="0" fontId="18" fillId="8" borderId="9" xfId="4" applyFont="1" applyFill="1" applyBorder="1"/>
    <xf numFmtId="180" fontId="18" fillId="8" borderId="23" xfId="5" applyNumberFormat="1" applyFont="1" applyFill="1" applyBorder="1" applyAlignment="1">
      <alignment horizontal="right" vertical="center"/>
    </xf>
    <xf numFmtId="167" fontId="18" fillId="8" borderId="9" xfId="5" applyNumberFormat="1" applyFont="1" applyFill="1" applyBorder="1" applyAlignment="1">
      <alignment horizontal="right" vertical="center"/>
    </xf>
    <xf numFmtId="165" fontId="18" fillId="11" borderId="0" xfId="5" applyNumberFormat="1" applyFont="1" applyFill="1" applyBorder="1" applyAlignment="1">
      <alignment horizontal="right" vertical="center"/>
    </xf>
    <xf numFmtId="165" fontId="18" fillId="8" borderId="9" xfId="5" applyNumberFormat="1" applyFont="1" applyFill="1" applyBorder="1" applyAlignment="1">
      <alignment horizontal="right" vertical="center"/>
    </xf>
    <xf numFmtId="180" fontId="18" fillId="0" borderId="0" xfId="5" applyNumberFormat="1" applyFont="1" applyFill="1" applyBorder="1" applyAlignment="1">
      <alignment horizontal="right" vertical="center"/>
    </xf>
    <xf numFmtId="0" fontId="18" fillId="0" borderId="9" xfId="4" applyFont="1" applyBorder="1"/>
    <xf numFmtId="180" fontId="18" fillId="0" borderId="23" xfId="5" applyNumberFormat="1" applyFont="1" applyFill="1" applyBorder="1" applyAlignment="1">
      <alignment horizontal="right" vertical="center"/>
    </xf>
    <xf numFmtId="167" fontId="18" fillId="0" borderId="9" xfId="5" applyNumberFormat="1" applyFont="1" applyFill="1" applyBorder="1" applyAlignment="1">
      <alignment horizontal="right" vertical="center"/>
    </xf>
    <xf numFmtId="165" fontId="18" fillId="0" borderId="0" xfId="5" applyNumberFormat="1" applyFont="1" applyFill="1" applyBorder="1" applyAlignment="1">
      <alignment horizontal="right" vertical="center"/>
    </xf>
    <xf numFmtId="165" fontId="18" fillId="0" borderId="9" xfId="5" applyNumberFormat="1" applyFont="1" applyFill="1" applyBorder="1" applyAlignment="1">
      <alignment horizontal="right" vertical="center"/>
    </xf>
    <xf numFmtId="181" fontId="18" fillId="0" borderId="9" xfId="5" applyNumberFormat="1" applyFont="1" applyFill="1" applyBorder="1" applyAlignment="1">
      <alignment horizontal="right" vertical="center"/>
    </xf>
    <xf numFmtId="181" fontId="18" fillId="8" borderId="9" xfId="5" applyNumberFormat="1" applyFont="1" applyFill="1" applyBorder="1" applyAlignment="1">
      <alignment horizontal="right" vertical="center"/>
    </xf>
    <xf numFmtId="0" fontId="45" fillId="0" borderId="0" xfId="0" applyFont="1"/>
    <xf numFmtId="175" fontId="22" fillId="4" borderId="0" xfId="0" applyNumberFormat="1" applyFont="1" applyFill="1"/>
    <xf numFmtId="0" fontId="8" fillId="4" borderId="0" xfId="4" applyFont="1" applyFill="1" applyAlignment="1">
      <alignment horizontal="right"/>
    </xf>
    <xf numFmtId="173" fontId="8" fillId="4" borderId="0" xfId="0" applyNumberFormat="1" applyFont="1" applyFill="1" applyAlignment="1">
      <alignment horizontal="right"/>
    </xf>
    <xf numFmtId="173" fontId="23" fillId="0" borderId="0" xfId="0" applyNumberFormat="1" applyFont="1" applyAlignment="1">
      <alignment horizontal="left"/>
    </xf>
    <xf numFmtId="0" fontId="21" fillId="0" borderId="0" xfId="0" applyFont="1" applyAlignment="1">
      <alignment horizontal="right"/>
    </xf>
    <xf numFmtId="0" fontId="0" fillId="0" borderId="0" xfId="0" applyAlignment="1">
      <alignment horizontal="right"/>
    </xf>
    <xf numFmtId="0" fontId="0" fillId="15" borderId="0" xfId="0" applyFill="1" applyAlignment="1">
      <alignment horizontal="right"/>
    </xf>
    <xf numFmtId="169" fontId="32" fillId="15" borderId="0" xfId="5" applyNumberFormat="1" applyFont="1" applyFill="1" applyBorder="1" applyAlignment="1">
      <alignment horizontal="right" vertical="center" indent="3"/>
    </xf>
    <xf numFmtId="170" fontId="18" fillId="0" borderId="0" xfId="5" applyNumberFormat="1" applyFont="1" applyFill="1" applyBorder="1" applyAlignment="1">
      <alignment horizontal="right" vertical="center" indent="2"/>
    </xf>
    <xf numFmtId="175" fontId="22" fillId="0" borderId="0" xfId="0" applyNumberFormat="1" applyFont="1" applyAlignment="1">
      <alignment horizontal="right"/>
    </xf>
    <xf numFmtId="170" fontId="19" fillId="15" borderId="15" xfId="5" applyNumberFormat="1" applyFont="1" applyFill="1" applyBorder="1" applyAlignment="1">
      <alignment horizontal="right" vertical="center"/>
    </xf>
    <xf numFmtId="170" fontId="17" fillId="0" borderId="0" xfId="5" applyNumberFormat="1" applyFont="1" applyFill="1" applyBorder="1" applyAlignment="1">
      <alignment horizontal="right" vertical="center"/>
    </xf>
    <xf numFmtId="170" fontId="18" fillId="0" borderId="0" xfId="5" applyNumberFormat="1" applyFont="1" applyFill="1" applyBorder="1" applyAlignment="1">
      <alignment horizontal="right" vertical="center" indent="1"/>
    </xf>
    <xf numFmtId="170" fontId="19" fillId="15" borderId="0" xfId="5" applyNumberFormat="1" applyFont="1" applyFill="1" applyBorder="1" applyAlignment="1">
      <alignment horizontal="right" vertical="center"/>
    </xf>
    <xf numFmtId="170" fontId="6" fillId="3" borderId="18" xfId="5" applyNumberFormat="1" applyFont="1" applyFill="1" applyBorder="1" applyAlignment="1">
      <alignment horizontal="right" vertical="center"/>
    </xf>
    <xf numFmtId="182" fontId="17" fillId="0" borderId="9" xfId="5" applyNumberFormat="1" applyFont="1" applyFill="1" applyBorder="1" applyAlignment="1">
      <alignment horizontal="right" vertical="center"/>
    </xf>
    <xf numFmtId="182" fontId="17" fillId="8" borderId="9" xfId="5" applyNumberFormat="1" applyFont="1" applyFill="1" applyBorder="1" applyAlignment="1">
      <alignment horizontal="right" vertical="center"/>
    </xf>
    <xf numFmtId="182" fontId="6" fillId="7" borderId="9" xfId="5" applyNumberFormat="1" applyFont="1" applyFill="1" applyBorder="1" applyAlignment="1">
      <alignment horizontal="right" vertical="center"/>
    </xf>
    <xf numFmtId="182" fontId="12" fillId="9" borderId="9" xfId="5" applyNumberFormat="1" applyFont="1" applyFill="1" applyBorder="1" applyAlignment="1">
      <alignment horizontal="right" vertical="center"/>
    </xf>
    <xf numFmtId="182" fontId="6" fillId="7" borderId="10" xfId="5" applyNumberFormat="1" applyFont="1" applyFill="1" applyBorder="1" applyAlignment="1">
      <alignment horizontal="right" vertical="center"/>
    </xf>
    <xf numFmtId="182" fontId="11" fillId="7" borderId="8" xfId="5" applyNumberFormat="1" applyFont="1" applyFill="1" applyBorder="1" applyAlignment="1">
      <alignment horizontal="right" vertical="center"/>
    </xf>
    <xf numFmtId="0" fontId="19" fillId="20" borderId="0" xfId="0" applyFont="1" applyFill="1" applyAlignment="1">
      <alignment horizontal="center"/>
    </xf>
  </cellXfs>
  <cellStyles count="12">
    <cellStyle name="_x000a_386grabber=M" xfId="7" xr:uid="{08236BE0-F008-44E0-B22F-236092CE9433}"/>
    <cellStyle name="_CurrencySpace" xfId="5" xr:uid="{6EE7140C-A482-4B64-B999-56D7EFAC14E9}"/>
    <cellStyle name="_TableRowHead" xfId="11" xr:uid="{D83B8088-BC1E-4B1E-A10A-D9E57C128928}"/>
    <cellStyle name="Change" xfId="1" xr:uid="{04959CD1-AA42-40FF-A10B-CE1E6FB14AF0}"/>
    <cellStyle name="Lien hypertexte" xfId="3" builtinId="8"/>
    <cellStyle name="Normal" xfId="0" builtinId="0" customBuiltin="1"/>
    <cellStyle name="Normal 2" xfId="9" xr:uid="{CA66EFC1-FDD3-4625-83AA-577B59D48AB7}"/>
    <cellStyle name="Normal 2 2 2 3" xfId="8" xr:uid="{179AC6B8-797A-4668-ADAF-C0F356AD5F4C}"/>
    <cellStyle name="Normal 3" xfId="4" xr:uid="{86E89564-CBD2-48F5-B98F-286C52785C6D}"/>
    <cellStyle name="Pourcentage" xfId="6" builtinId="5"/>
    <cellStyle name="Pourcentage 2" xfId="10" xr:uid="{C0BEAAE0-BEAE-483A-80A3-939BBD75188D}"/>
    <cellStyle name="Thousands" xfId="2" xr:uid="{1F42E58B-A068-4C3D-93C6-62C5D0C5E2E5}"/>
  </cellStyles>
  <dxfs count="15">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s>
  <tableStyles count="0" defaultTableStyle="TableStyleMedium2" defaultPivotStyle="PivotStyleLight16"/>
  <colors>
    <mruColors>
      <color rgb="FFEDEDED"/>
      <color rgb="FF003C64"/>
      <color rgb="FF0070C0"/>
      <color rgb="FF005483"/>
      <color rgb="FF0073A3"/>
      <color rgb="FFD9D9D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1</xdr:col>
      <xdr:colOff>1</xdr:colOff>
      <xdr:row>30</xdr:row>
      <xdr:rowOff>0</xdr:rowOff>
    </xdr:from>
    <xdr:ext cx="10496550" cy="4711700"/>
    <xdr:sp macro="" textlink="">
      <xdr:nvSpPr>
        <xdr:cNvPr id="2" name="TextBox 1">
          <a:extLst>
            <a:ext uri="{FF2B5EF4-FFF2-40B4-BE49-F238E27FC236}">
              <a16:creationId xmlns:a16="http://schemas.microsoft.com/office/drawing/2014/main" id="{DB113613-CC90-402E-933C-59714696C5D4}"/>
            </a:ext>
          </a:extLst>
        </xdr:cNvPr>
        <xdr:cNvSpPr txBox="1"/>
      </xdr:nvSpPr>
      <xdr:spPr>
        <a:xfrm>
          <a:off x="171451" y="2774950"/>
          <a:ext cx="10496550" cy="471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ysClr val="windowText" lastClr="000000"/>
              </a:solidFill>
              <a:latin typeface="Arial" panose="020B0604020202020204" pitchFamily="34" charset="0"/>
              <a:ea typeface="Noto Sans Condensed" panose="020B0502040504020204" pitchFamily="34" charset="0"/>
              <a:cs typeface="Arial" panose="020B0604020202020204" pitchFamily="34" charset="0"/>
            </a:rPr>
            <a:t>Accounting data</a:t>
          </a:r>
        </a:p>
        <a:p>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Amundi has chosen to present adjusted accounting data for certain income items (net income, general operating expenses, share of net income of associates) in order to better reflect the economic and operating profitability of the company. These adjustments are intended to neutralise the impacts identified during acquisitions:</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pPr lvl="1"/>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amortisation of distribution contracts or customer contracts (UniCredit, Banco Sabadell, Alpha Associates as well as Bawag and Lyxor until 31/12/2024) in </a:t>
          </a:r>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other income</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pPr lvl="1"/>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depreciation and amortisation related to the inclusion of earn-outs (Alpha Associates) in </a:t>
          </a:r>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financial income</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pPr lvl="1"/>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Amortisation of technological intangible assets (AIXIGO) in </a:t>
          </a:r>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operating expenses</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pPr lvl="1"/>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integration costs (Victory Capital) in </a:t>
          </a:r>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operating expenses, </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and capital gain or loss on disposal (Victory Capital) in </a:t>
          </a:r>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profit or loss on other assets</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as well as provisioned expenses related to optimisation or restructuring plans (in</a:t>
          </a:r>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operating expenses</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Finally, the adjustments applied by Victory Capital, a listed equity investment, between its reported results and its adjusted results are included identically in the Amundi Group's results, as they correspond to adjustments of the same nature as those of the Group detailed above. They are included in the </a:t>
          </a:r>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line between companies accounted for under the equity method</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The aggregate amounts of these items for the different periods under review are as follows:</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Q3 2024*: </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24m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before tax and -€</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17m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after tax</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9M 2024*:</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68m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before tax and -€</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49m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after tax</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Q2 2025: </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28m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before tax and -€</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22m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after tax + €</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402m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capital gain (without tax effect)</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Q3 2025: </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118m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pre-tax and -€</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91m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after tax</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9M 2025: </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174m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before tax and -€</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134m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after tax + €</a:t>
          </a:r>
          <a:r>
            <a:rPr lang="en-US"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402m</a:t>
          </a:r>
          <a:r>
            <a:rPr lang="en-GB"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rPr>
            <a:t> capital gain (without tax effect)</a:t>
          </a:r>
          <a:endParaRPr lang="fr-FR" sz="1000">
            <a:solidFill>
              <a:schemeClr val="tx1"/>
            </a:solidFill>
            <a:effectLst/>
            <a:latin typeface="Arial" panose="020B0604020202020204" pitchFamily="34" charset="0"/>
            <a:ea typeface="Noto Sans Condensed" panose="020B0502040504020204" pitchFamily="34" charset="0"/>
            <a:cs typeface="Arial" panose="020B0604020202020204" pitchFamily="34" charset="0"/>
          </a:endParaRPr>
        </a:p>
        <a:p>
          <a:endParaRPr lang="en-GB" sz="900">
            <a:solidFill>
              <a:srgbClr val="FF0000"/>
            </a:solidFill>
            <a:latin typeface="Arial" panose="020B0604020202020204" pitchFamily="34" charset="0"/>
            <a:ea typeface="Noto Sans Condensed" panose="020B0502040504020204" pitchFamily="34" charset="0"/>
            <a:cs typeface="Arial" panose="020B0604020202020204" pitchFamily="34" charset="0"/>
          </a:endParaRPr>
        </a:p>
      </xdr:txBody>
    </xdr:sp>
    <xdr:clientData/>
  </xdr:oneCellAnchor>
  <xdr:oneCellAnchor>
    <xdr:from>
      <xdr:col>1</xdr:col>
      <xdr:colOff>0</xdr:colOff>
      <xdr:row>65</xdr:row>
      <xdr:rowOff>38100</xdr:rowOff>
    </xdr:from>
    <xdr:ext cx="10496550" cy="447675"/>
    <xdr:sp macro="" textlink="">
      <xdr:nvSpPr>
        <xdr:cNvPr id="3" name="TextBox 2">
          <a:extLst>
            <a:ext uri="{FF2B5EF4-FFF2-40B4-BE49-F238E27FC236}">
              <a16:creationId xmlns:a16="http://schemas.microsoft.com/office/drawing/2014/main" id="{82C766DC-4A4F-4212-A39F-969C377446A2}"/>
            </a:ext>
          </a:extLst>
        </xdr:cNvPr>
        <xdr:cNvSpPr txBox="1"/>
      </xdr:nvSpPr>
      <xdr:spPr>
        <a:xfrm>
          <a:off x="167640" y="6225540"/>
          <a:ext cx="10496550" cy="447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900" b="0" i="0" u="none" strike="noStrike" baseline="0">
              <a:solidFill>
                <a:schemeClr val="tx1"/>
              </a:solidFill>
              <a:latin typeface="Arial" panose="020B0604020202020204" pitchFamily="34" charset="0"/>
              <a:ea typeface="+mn-ea"/>
              <a:cs typeface="Arial" panose="020B0604020202020204" pitchFamily="34" charset="0"/>
            </a:rPr>
            <a:t>The figures presented in this document for Q3 2025 have been approved by Amundi's Board of Directors and have been prepared in accordance with the prudential rules in force and IFRS standards, as adopted by the European Union and applicable as of the date of this document, but remain subject to the work of the statutory auditors which is in progress.</a:t>
          </a:r>
        </a:p>
      </xdr:txBody>
    </xdr:sp>
    <xdr:clientData/>
  </xdr:oneCellAnchor>
  <xdr:twoCellAnchor editAs="oneCell">
    <xdr:from>
      <xdr:col>0</xdr:col>
      <xdr:colOff>68580</xdr:colOff>
      <xdr:row>0</xdr:row>
      <xdr:rowOff>0</xdr:rowOff>
    </xdr:from>
    <xdr:to>
      <xdr:col>3</xdr:col>
      <xdr:colOff>45720</xdr:colOff>
      <xdr:row>19</xdr:row>
      <xdr:rowOff>91441</xdr:rowOff>
    </xdr:to>
    <xdr:pic>
      <xdr:nvPicPr>
        <xdr:cNvPr id="5" name="Picture 4">
          <a:extLst>
            <a:ext uri="{FF2B5EF4-FFF2-40B4-BE49-F238E27FC236}">
              <a16:creationId xmlns:a16="http://schemas.microsoft.com/office/drawing/2014/main" id="{12FC815F-341A-4864-AB00-F3164A4AE9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 y="0"/>
          <a:ext cx="2179320" cy="13868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125972</xdr:colOff>
      <xdr:row>3</xdr:row>
      <xdr:rowOff>216886</xdr:rowOff>
    </xdr:from>
    <xdr:ext cx="3763772" cy="1470146"/>
    <xdr:sp macro="" textlink="">
      <xdr:nvSpPr>
        <xdr:cNvPr id="4" name="TextBox 3">
          <a:extLst>
            <a:ext uri="{FF2B5EF4-FFF2-40B4-BE49-F238E27FC236}">
              <a16:creationId xmlns:a16="http://schemas.microsoft.com/office/drawing/2014/main" id="{CCD75D15-5646-5F7B-CB86-E430BF455930}"/>
            </a:ext>
          </a:extLst>
        </xdr:cNvPr>
        <xdr:cNvSpPr txBox="1"/>
      </xdr:nvSpPr>
      <xdr:spPr>
        <a:xfrm>
          <a:off x="125972" y="360819"/>
          <a:ext cx="3763772" cy="147014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GB" sz="1100" i="1">
              <a:solidFill>
                <a:schemeClr val="tx1"/>
              </a:solidFill>
              <a:effectLst/>
              <a:latin typeface="+mn-lt"/>
              <a:ea typeface="+mn-ea"/>
              <a:cs typeface="+mn-cs"/>
            </a:rPr>
            <a:t>Quarterly series have been restated as if Amundi US had been 100% consolidated using the equity method up to and including Q1 2025.</a:t>
          </a:r>
        </a:p>
        <a:p>
          <a:pPr marL="0" marR="0" lvl="0" indent="0" defTabSz="914400" rtl="0" eaLnBrk="1" fontAlgn="auto" latinLnBrk="0" hangingPunct="1">
            <a:lnSpc>
              <a:spcPct val="100000"/>
            </a:lnSpc>
            <a:spcBef>
              <a:spcPts val="0"/>
            </a:spcBef>
            <a:spcAft>
              <a:spcPts val="0"/>
            </a:spcAft>
            <a:buClrTx/>
            <a:buSzTx/>
            <a:buFontTx/>
            <a:buNone/>
            <a:tabLst/>
            <a:defRPr/>
          </a:pPr>
          <a:r>
            <a:rPr lang="en-GB" sz="1100" i="1">
              <a:solidFill>
                <a:schemeClr val="tx1"/>
              </a:solidFill>
              <a:effectLst/>
              <a:latin typeface="+mn-lt"/>
              <a:ea typeface="+mn-ea"/>
              <a:cs typeface="+mn-cs"/>
            </a:rPr>
            <a:t>For FY, 9M  and H1 2025 no restatement has been applied and Amundi US is therefore fully included in Q1 2025; FY, 9M and H1 2024 have been restated as if Amundi US had been accounted for under the equity method in Q2, Q3 and Q4 2024, and fully integrated in Q1 2024.</a:t>
          </a:r>
        </a:p>
      </xdr:txBody>
    </xdr:sp>
    <xdr:clientData/>
  </xdr:one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1692-0266-44F6-B7EF-7D5539BCF136}">
  <sheetPr>
    <pageSetUpPr fitToPage="1"/>
  </sheetPr>
  <dimension ref="B1:K65"/>
  <sheetViews>
    <sheetView showGridLines="0" topLeftCell="A13" zoomScaleNormal="100" workbookViewId="0">
      <selection activeCell="B30" sqref="B30"/>
    </sheetView>
  </sheetViews>
  <sheetFormatPr baseColWidth="10" defaultColWidth="9.125" defaultRowHeight="11.4" outlineLevelRow="1" x14ac:dyDescent="0.2"/>
  <cols>
    <col min="1" max="1" width="2.75" customWidth="1"/>
    <col min="2" max="2" width="15.375" customWidth="1"/>
    <col min="3" max="3" width="18" customWidth="1"/>
    <col min="4" max="4" width="14.625" customWidth="1"/>
    <col min="5" max="5" width="14.375" customWidth="1"/>
  </cols>
  <sheetData>
    <row r="1" spans="2:11" hidden="1" outlineLevel="1" x14ac:dyDescent="0.2">
      <c r="B1" s="50" t="str">
        <f>YEAR(DateRef)&amp;"Q"&amp;MONTH(DateRef)/3</f>
        <v>2025Q3</v>
      </c>
      <c r="J1" s="3" t="s">
        <v>7</v>
      </c>
      <c r="K1" s="4"/>
    </row>
    <row r="2" spans="2:11" hidden="1" outlineLevel="1" x14ac:dyDescent="0.2">
      <c r="B2" s="50" t="str" cm="1">
        <f t="array" ref="B2">YEAR(DateRef)&amp;INDEX(TableYtd,MONTH(DateRef),1)</f>
        <v>2025Sep</v>
      </c>
      <c r="J2" s="5" t="s">
        <v>8</v>
      </c>
      <c r="K2" s="6"/>
    </row>
    <row r="3" spans="2:11" hidden="1" outlineLevel="1" x14ac:dyDescent="0.2">
      <c r="B3" s="50"/>
      <c r="J3" s="7" t="s">
        <v>9</v>
      </c>
      <c r="K3" s="8" t="s">
        <v>19</v>
      </c>
    </row>
    <row r="4" spans="2:11" hidden="1" outlineLevel="1" x14ac:dyDescent="0.2">
      <c r="B4" s="50"/>
      <c r="J4" s="5" t="s">
        <v>10</v>
      </c>
      <c r="K4" s="6"/>
    </row>
    <row r="5" spans="2:11" hidden="1" outlineLevel="1" x14ac:dyDescent="0.2">
      <c r="B5" s="50"/>
      <c r="J5" s="5" t="s">
        <v>11</v>
      </c>
      <c r="K5" s="6"/>
    </row>
    <row r="6" spans="2:11" hidden="1" outlineLevel="1" x14ac:dyDescent="0.2">
      <c r="B6" s="50"/>
      <c r="J6" s="7" t="s">
        <v>12</v>
      </c>
      <c r="K6" s="8" t="s">
        <v>20</v>
      </c>
    </row>
    <row r="7" spans="2:11" hidden="1" outlineLevel="1" x14ac:dyDescent="0.2">
      <c r="B7" s="50"/>
      <c r="J7" s="5" t="s">
        <v>13</v>
      </c>
      <c r="K7" s="6"/>
    </row>
    <row r="8" spans="2:11" hidden="1" outlineLevel="1" x14ac:dyDescent="0.2">
      <c r="B8" s="50"/>
      <c r="J8" s="5" t="s">
        <v>14</v>
      </c>
      <c r="K8" s="6"/>
    </row>
    <row r="9" spans="2:11" hidden="1" outlineLevel="1" x14ac:dyDescent="0.2">
      <c r="B9" s="50"/>
      <c r="J9" s="7" t="s">
        <v>15</v>
      </c>
      <c r="K9" s="8" t="s">
        <v>21</v>
      </c>
    </row>
    <row r="10" spans="2:11" hidden="1" outlineLevel="1" x14ac:dyDescent="0.2">
      <c r="B10" s="50"/>
      <c r="J10" s="5" t="s">
        <v>16</v>
      </c>
      <c r="K10" s="6"/>
    </row>
    <row r="11" spans="2:11" hidden="1" outlineLevel="1" x14ac:dyDescent="0.2">
      <c r="B11" s="50"/>
      <c r="J11" s="5" t="s">
        <v>17</v>
      </c>
      <c r="K11" s="6"/>
    </row>
    <row r="12" spans="2:11" hidden="1" outlineLevel="1" x14ac:dyDescent="0.2">
      <c r="B12" s="50"/>
      <c r="J12" s="9" t="s">
        <v>18</v>
      </c>
      <c r="K12" s="10" t="s">
        <v>22</v>
      </c>
    </row>
    <row r="13" spans="2:11" collapsed="1" x14ac:dyDescent="0.2"/>
    <row r="14" spans="2:11" ht="17.399999999999999" x14ac:dyDescent="0.3">
      <c r="D14" s="284" t="s">
        <v>252</v>
      </c>
      <c r="G14" s="287" t="s">
        <v>239</v>
      </c>
    </row>
    <row r="15" spans="2:11" ht="15.6" x14ac:dyDescent="0.3">
      <c r="D15" s="285" t="s">
        <v>6</v>
      </c>
      <c r="E15" s="286">
        <v>45930</v>
      </c>
      <c r="G15" s="306" t="s">
        <v>299</v>
      </c>
    </row>
    <row r="16" spans="2:11" ht="15.6" x14ac:dyDescent="0.3">
      <c r="D16" s="285"/>
      <c r="E16" s="286"/>
      <c r="G16" s="306" t="s">
        <v>297</v>
      </c>
    </row>
    <row r="17" spans="2:7" ht="15.6" x14ac:dyDescent="0.3">
      <c r="D17" s="285"/>
      <c r="E17" s="286"/>
      <c r="G17" s="306" t="s">
        <v>298</v>
      </c>
    </row>
    <row r="18" spans="2:7" ht="13.2" x14ac:dyDescent="0.25">
      <c r="G18" s="307" t="s">
        <v>0</v>
      </c>
    </row>
    <row r="19" spans="2:7" ht="13.2" x14ac:dyDescent="0.25">
      <c r="G19" s="306" t="s">
        <v>238</v>
      </c>
    </row>
    <row r="20" spans="2:7" ht="13.2" x14ac:dyDescent="0.25">
      <c r="G20" s="306" t="s">
        <v>1</v>
      </c>
    </row>
    <row r="21" spans="2:7" ht="13.2" x14ac:dyDescent="0.25">
      <c r="G21" s="306" t="s">
        <v>4</v>
      </c>
    </row>
    <row r="22" spans="2:7" ht="13.2" x14ac:dyDescent="0.25">
      <c r="G22" s="306" t="s">
        <v>2</v>
      </c>
    </row>
    <row r="23" spans="2:7" ht="13.2" x14ac:dyDescent="0.25">
      <c r="G23" s="306" t="s">
        <v>3</v>
      </c>
    </row>
    <row r="25" spans="2:7" x14ac:dyDescent="0.2">
      <c r="B25" s="328" t="s">
        <v>300</v>
      </c>
    </row>
    <row r="26" spans="2:7" x14ac:dyDescent="0.2">
      <c r="B26" s="328" t="s">
        <v>301</v>
      </c>
    </row>
    <row r="27" spans="2:7" x14ac:dyDescent="0.2">
      <c r="B27" s="328" t="s">
        <v>248</v>
      </c>
    </row>
    <row r="30" spans="2:7" ht="15.6" x14ac:dyDescent="0.3">
      <c r="B30" s="287" t="s">
        <v>247</v>
      </c>
    </row>
    <row r="65" spans="2:2" ht="15.6" x14ac:dyDescent="0.3">
      <c r="B65" s="287" t="s">
        <v>251</v>
      </c>
    </row>
  </sheetData>
  <hyperlinks>
    <hyperlink ref="G15" location="'P&amp;L'!A1" display="P&amp;L" xr:uid="{BFB2DEA9-D0D8-4DF1-9D30-15A9E90D2A63}"/>
    <hyperlink ref="G18" location="'Asset &amp; flows - by segments'!A1" display="Assets &amp; flows - by segments" xr:uid="{CC58BB3E-6DBE-4B2C-944B-BF4CB2F34A20}"/>
    <hyperlink ref="G19" location="'Asset &amp; flows - by classes'!A1" display="Assets &amp; flows - by asset classes" xr:uid="{2E9C9443-07DD-423B-B7D4-0A956ADD1687}"/>
    <hyperlink ref="G20" location="'Asset &amp; flows - by geographies'!A1" display="Assets &amp; flows - by geographies" xr:uid="{E09E81E7-0FB5-4138-B5F4-805FAB58B709}"/>
    <hyperlink ref="G21" location="'JV-details'!A1" display="JV-details" xr:uid="{A071B2A3-721A-4180-9D2A-1B318EB999D8}"/>
    <hyperlink ref="G22" location="'Capital &amp; balance sheet'!A1" display="Capital &amp; balance sheet" xr:uid="{792DC71E-3972-433B-9A74-F29C9CE6B809}"/>
    <hyperlink ref="G23" location="Shareholding!A1" display="Shareholding" xr:uid="{7CEDE919-AB1A-4935-9095-EEB77E905711}"/>
    <hyperlink ref="G16" location="'Group P&amp;L restated Amundi US'!Print_Titles" display="Group P&amp;L restated Amundi US" xr:uid="{89BEBA32-7041-45AF-9011-8D72C9E1A2A1}"/>
    <hyperlink ref="G17" location="'Amundi US - P&amp;L contribution'!Print_Titles" display="Amundi US - P&amp;L contribution" xr:uid="{5CC4136E-B9A0-4428-AF53-A23FE85B8194}"/>
  </hyperlinks>
  <pageMargins left="0.39370078740157483" right="0.39370078740157483" top="0.39370078740157483" bottom="0.59055118110236227" header="0.31496062992125984" footer="0.19685039370078741"/>
  <pageSetup paperSize="9" scale="76" orientation="landscape" verticalDpi="0" r:id="rId1"/>
  <headerFooter>
    <oddFooter>&amp;L&amp;"Arial Black,Normal"&amp;F - &amp;A&amp;C&amp;"Arial Black,Normal"&amp;8p. &amp;P / &amp;N&amp;R&amp;"Arial Narrow,Normal"&amp;8&amp;G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19F77-124D-4956-A660-53FFE7DA048A}">
  <dimension ref="A1:P7"/>
  <sheetViews>
    <sheetView workbookViewId="0">
      <selection activeCell="P7" sqref="P7"/>
    </sheetView>
  </sheetViews>
  <sheetFormatPr baseColWidth="10" defaultColWidth="9.125" defaultRowHeight="11.4" x14ac:dyDescent="0.2"/>
  <cols>
    <col min="16" max="16" width="12.625" customWidth="1"/>
  </cols>
  <sheetData>
    <row r="1" spans="1:16" x14ac:dyDescent="0.2">
      <c r="A1">
        <v>7</v>
      </c>
      <c r="B1">
        <v>16</v>
      </c>
    </row>
    <row r="7" spans="1:16" ht="12" x14ac:dyDescent="0.25">
      <c r="P7" s="15"/>
    </row>
  </sheetData>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1CA07-E16E-42D7-9E6D-4341DC2BB7C5}">
  <dimension ref="A1:W25"/>
  <sheetViews>
    <sheetView workbookViewId="0">
      <selection activeCell="C5" sqref="C5:G5"/>
    </sheetView>
  </sheetViews>
  <sheetFormatPr baseColWidth="10" defaultColWidth="9.125" defaultRowHeight="11.4" x14ac:dyDescent="0.2"/>
  <cols>
    <col min="1" max="1" width="33.75" bestFit="1" customWidth="1"/>
    <col min="2" max="2" width="10.625" bestFit="1" customWidth="1"/>
    <col min="3" max="3" width="10.375" customWidth="1"/>
  </cols>
  <sheetData>
    <row r="1" spans="1:23" x14ac:dyDescent="0.2">
      <c r="A1">
        <v>25</v>
      </c>
      <c r="B1">
        <v>16384</v>
      </c>
    </row>
    <row r="5" spans="1:23" ht="12" x14ac:dyDescent="0.25">
      <c r="C5" s="369"/>
      <c r="D5" s="369"/>
      <c r="E5" s="369"/>
      <c r="F5" s="369"/>
      <c r="G5" s="313"/>
    </row>
    <row r="7" spans="1:23" ht="12" x14ac:dyDescent="0.25">
      <c r="P7" s="15"/>
    </row>
    <row r="8" spans="1:23" x14ac:dyDescent="0.2">
      <c r="A8" s="95"/>
      <c r="B8" s="116"/>
      <c r="C8" s="117"/>
      <c r="D8" s="117"/>
      <c r="E8" s="117"/>
      <c r="G8" s="117"/>
      <c r="H8" s="117"/>
      <c r="I8" s="117"/>
      <c r="J8" s="117"/>
      <c r="K8" s="117"/>
      <c r="L8" s="117"/>
      <c r="M8" s="117"/>
      <c r="N8" s="118"/>
      <c r="O8" s="118"/>
      <c r="P8" s="118"/>
      <c r="Q8" s="118"/>
      <c r="R8" s="118"/>
      <c r="S8" s="118"/>
      <c r="T8" s="118"/>
      <c r="U8" s="118"/>
      <c r="V8" s="118"/>
      <c r="W8" s="118"/>
    </row>
    <row r="25" spans="2:20" ht="12" x14ac:dyDescent="0.25">
      <c r="B25" s="70"/>
      <c r="D25" s="69"/>
      <c r="E25" s="69"/>
      <c r="F25" s="69"/>
      <c r="G25" s="69"/>
      <c r="I25" s="68"/>
      <c r="J25" s="68"/>
      <c r="K25" s="68"/>
      <c r="L25" s="68"/>
      <c r="M25" s="68"/>
      <c r="N25" s="68"/>
      <c r="O25" s="68"/>
      <c r="P25" s="68"/>
      <c r="Q25" s="68"/>
      <c r="R25" s="68"/>
      <c r="S25" s="68"/>
      <c r="T25" s="68"/>
    </row>
  </sheetData>
  <mergeCells count="1">
    <mergeCell ref="C5:F5"/>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9B235-0462-43B5-AEF4-FD8682EEAB12}">
  <sheetPr>
    <pageSetUpPr fitToPage="1"/>
  </sheetPr>
  <dimension ref="A1:AV72"/>
  <sheetViews>
    <sheetView showGridLines="0" topLeftCell="A3" zoomScaleNormal="100" workbookViewId="0">
      <pane xSplit="4" topLeftCell="E1" activePane="topRight" state="frozen"/>
      <selection activeCell="B30" sqref="B30"/>
      <selection pane="topRight" activeCell="Q33" sqref="Q33"/>
    </sheetView>
  </sheetViews>
  <sheetFormatPr baseColWidth="10" defaultColWidth="9.125" defaultRowHeight="11.4" outlineLevelRow="1" outlineLevelCol="1" x14ac:dyDescent="0.2"/>
  <cols>
    <col min="1" max="1" width="25.75" hidden="1" customWidth="1" outlineLevel="1"/>
    <col min="2" max="2" width="2.75" customWidth="1" collapsed="1"/>
    <col min="3" max="3" width="58.75" customWidth="1"/>
    <col min="4" max="4" width="2.75" customWidth="1"/>
    <col min="5" max="6" width="8.75"/>
    <col min="7" max="7" width="14.125" style="52" bestFit="1" customWidth="1"/>
    <col min="8" max="8" width="2.75" style="45" customWidth="1"/>
    <col min="10" max="10" width="9.75" bestFit="1" customWidth="1"/>
    <col min="11" max="11" width="14.125" style="52" bestFit="1" customWidth="1"/>
    <col min="12" max="12" width="2.75" style="45" customWidth="1"/>
    <col min="13" max="14" width="0" hidden="1" customWidth="1"/>
    <col min="15" max="15" width="14.125" style="52" hidden="1" customWidth="1"/>
    <col min="16" max="16" width="2.75" style="45" hidden="1" customWidth="1"/>
    <col min="17" max="17" width="8.75"/>
    <col min="18" max="18" width="14.125" style="52" bestFit="1" customWidth="1"/>
    <col min="19" max="19" width="10.75" style="45" customWidth="1"/>
    <col min="20" max="24" width="10.625" customWidth="1"/>
    <col min="25" max="25" width="2.75" style="45" customWidth="1"/>
    <col min="26" max="32" width="10.625" customWidth="1"/>
    <col min="33" max="33" width="3.625" customWidth="1"/>
    <col min="34" max="40" width="10.625" customWidth="1"/>
    <col min="41" max="41" width="3.625" customWidth="1"/>
    <col min="42" max="48" width="10.625" customWidth="1"/>
  </cols>
  <sheetData>
    <row r="1" spans="1:48" hidden="1" outlineLevel="1" x14ac:dyDescent="0.2">
      <c r="A1" s="232"/>
      <c r="B1" s="232"/>
      <c r="C1" s="11" t="s">
        <v>23</v>
      </c>
      <c r="D1" s="232"/>
      <c r="E1" s="11" t="str">
        <f>DateYtd</f>
        <v>2025Sep</v>
      </c>
      <c r="F1" s="11" t="str" cm="1">
        <f t="array" ref="F1">YEAR(EOMONTH(DateRef,-12))&amp;INDEX(TableYtd,MONTH(EOMONTH(DateRef,-12)),1)</f>
        <v>2024Sep</v>
      </c>
      <c r="G1" s="273"/>
      <c r="H1" s="274"/>
      <c r="I1" s="11" t="str">
        <f>YEAR(EOMONTH(DateRef,0))&amp;"Q"&amp;MONTH(EOMONTH(DateRef,0))/3</f>
        <v>2025Q3</v>
      </c>
      <c r="J1" s="275" t="str">
        <f>YEAR(J2)&amp;"Q"&amp;MONTH(J2)/3</f>
        <v>2024Q3</v>
      </c>
      <c r="K1" s="273"/>
      <c r="L1" s="274"/>
      <c r="M1" s="11" t="str">
        <f>DateQ</f>
        <v>2025Q3</v>
      </c>
      <c r="N1" s="11" t="str">
        <f>YEAR(EOMONTH(DateRef,-12))&amp;"Q"&amp;MONTH(EOMONTH(DateRef,-12))/3</f>
        <v>2024Q3</v>
      </c>
      <c r="O1" s="273"/>
      <c r="P1" s="274"/>
      <c r="Q1" s="11" t="str">
        <f>YEAR(EOMONTH(DateRef,-3))&amp;"Q"&amp;MONTH(EOMONTH(DateRef,-3))/3</f>
        <v>2025Q2</v>
      </c>
      <c r="R1" s="273"/>
      <c r="S1" s="274"/>
      <c r="T1" s="275" t="str" cm="1">
        <f t="array" ref="T1">YEAR(T$2)&amp;INDEX(TableYtd,MONTH(T$2),1)</f>
        <v>2025Sep</v>
      </c>
      <c r="U1" s="275" t="str">
        <f>YEAR(U2)&amp;"Q"&amp;MONTH(U2)/3</f>
        <v>2025Q3</v>
      </c>
      <c r="V1" s="275" t="str" cm="1">
        <f t="array" ref="V1">YEAR(V$2)&amp;INDEX(TableYtd,MONTH(V$2),1)</f>
        <v>2025Jun</v>
      </c>
      <c r="W1" s="275" t="str">
        <f>YEAR(W2)&amp;"Q"&amp;MONTH(W2)/3</f>
        <v>2025Q2</v>
      </c>
      <c r="X1" s="275" t="str">
        <f>YEAR(X2)&amp;"Q"&amp;MONTH(X2)/3</f>
        <v>2025Q1</v>
      </c>
      <c r="Y1" s="274"/>
      <c r="Z1" s="275" t="str" cm="1">
        <f t="array" ref="Z1">YEAR(Z$2)&amp;INDEX(TableYtd,MONTH(Z$2),1)</f>
        <v>2024Dec</v>
      </c>
      <c r="AA1" s="275" t="str">
        <f>YEAR(AA2)&amp;"Q"&amp;MONTH(AA2)/3</f>
        <v>2024Q4</v>
      </c>
      <c r="AB1" s="275" t="str" cm="1">
        <f t="array" ref="AB1">YEAR(AB$2)&amp;INDEX(TableYtd,MONTH(AB$2),1)</f>
        <v>2024Sep</v>
      </c>
      <c r="AC1" s="275" t="str">
        <f>YEAR(AC2)&amp;"Q"&amp;MONTH(AC2)/3</f>
        <v>2024Q3</v>
      </c>
      <c r="AD1" s="275" t="str" cm="1">
        <f t="array" ref="AD1">YEAR(AD$2)&amp;INDEX(TableYtd,MONTH(AD$2),1)</f>
        <v>2024Jun</v>
      </c>
      <c r="AE1" s="275" t="str">
        <f>YEAR(AE2)&amp;"Q"&amp;MONTH(AE2)/3</f>
        <v>2024Q2</v>
      </c>
      <c r="AF1" s="275" t="str">
        <f>YEAR(AF2)&amp;"Q"&amp;MONTH(AF2)/3</f>
        <v>2024Q1</v>
      </c>
      <c r="AG1" s="232"/>
      <c r="AH1" s="275" t="str" cm="1">
        <f t="array" ref="AH1">YEAR(AH$2)&amp;INDEX(TableYtd,MONTH(AH$2),1)</f>
        <v>2023Dec</v>
      </c>
      <c r="AI1" s="275" t="str">
        <f t="shared" ref="AI1" si="0">YEAR(AI2)&amp;"Q"&amp;MONTH(AI2)/3</f>
        <v>2023Q4</v>
      </c>
      <c r="AJ1" s="275" t="str" cm="1">
        <f t="array" ref="AJ1">YEAR(AJ$2)&amp;INDEX(TableYtd,MONTH(AJ$2),1)</f>
        <v>2023Sep</v>
      </c>
      <c r="AK1" s="275" t="str">
        <f t="shared" ref="AK1" si="1">YEAR(AK2)&amp;"Q"&amp;MONTH(AK2)/3</f>
        <v>2023Q3</v>
      </c>
      <c r="AL1" s="275" t="str" cm="1">
        <f t="array" ref="AL1">YEAR(AL$2)&amp;INDEX(TableYtd,MONTH(AL$2),1)</f>
        <v>2023Jun</v>
      </c>
      <c r="AM1" s="275" t="str">
        <f t="shared" ref="AM1" si="2">YEAR(AM2)&amp;"Q"&amp;MONTH(AM2)/3</f>
        <v>2023Q2</v>
      </c>
      <c r="AN1" s="275" t="str">
        <f>YEAR(AN2)&amp;"Q"&amp;MONTH(AN2)/3</f>
        <v>2023Q1</v>
      </c>
      <c r="AO1" s="232"/>
      <c r="AP1" s="275" t="str" cm="1">
        <f t="array" ref="AP1">YEAR(AP$2)&amp;INDEX(TableYtd,MONTH(AP$2),1)</f>
        <v>2022Dec</v>
      </c>
      <c r="AQ1" s="275" t="str">
        <f t="shared" ref="AQ1" si="3">YEAR(AQ2)&amp;"Q"&amp;MONTH(AQ2)/3</f>
        <v>2022Q4</v>
      </c>
      <c r="AR1" s="275" t="str" cm="1">
        <f t="array" ref="AR1">YEAR(AR$2)&amp;INDEX(TableYtd,MONTH(AR$2),1)</f>
        <v>2022Sep</v>
      </c>
      <c r="AS1" s="275" t="str">
        <f t="shared" ref="AS1" si="4">YEAR(AS2)&amp;"Q"&amp;MONTH(AS2)/3</f>
        <v>2022Q3</v>
      </c>
      <c r="AT1" s="275" t="str" cm="1">
        <f t="array" ref="AT1">YEAR(AT$2)&amp;INDEX(TableYtd,MONTH(AT$2),1)</f>
        <v>2022Jun</v>
      </c>
      <c r="AU1" s="275" t="str">
        <f t="shared" ref="AU1" si="5">YEAR(AU2)&amp;"Q"&amp;MONTH(AU2)/3</f>
        <v>2022Q2</v>
      </c>
      <c r="AV1" s="275" t="str">
        <f>YEAR(AV2)&amp;"Q"&amp;MONTH(AV2)/3</f>
        <v>2022Q1</v>
      </c>
    </row>
    <row r="2" spans="1:48" hidden="1" outlineLevel="1" x14ac:dyDescent="0.2">
      <c r="A2" s="232"/>
      <c r="B2" s="232"/>
      <c r="C2" s="11"/>
      <c r="D2" s="232"/>
      <c r="E2" s="232"/>
      <c r="F2" s="232"/>
      <c r="G2" s="276"/>
      <c r="H2" s="277"/>
      <c r="I2" s="232"/>
      <c r="J2" s="278">
        <f>EOMONTH(E4,-12)</f>
        <v>45565</v>
      </c>
      <c r="K2" s="276"/>
      <c r="L2" s="277"/>
      <c r="M2" s="232"/>
      <c r="N2" s="232"/>
      <c r="O2" s="276"/>
      <c r="P2" s="277"/>
      <c r="Q2" s="232"/>
      <c r="R2" s="276"/>
      <c r="S2" s="277"/>
      <c r="T2" s="278">
        <f>DateRef</f>
        <v>45930</v>
      </c>
      <c r="U2" s="278">
        <f>T2</f>
        <v>45930</v>
      </c>
      <c r="V2" s="278">
        <f>EOMONTH(T2,-3)</f>
        <v>45838</v>
      </c>
      <c r="W2" s="278">
        <f>V2</f>
        <v>45838</v>
      </c>
      <c r="X2" s="278">
        <f>EOMONTH(W2,-3)</f>
        <v>45747</v>
      </c>
      <c r="Y2" s="277"/>
      <c r="Z2" s="278">
        <f>EOMONTH(X2,-3)</f>
        <v>45657</v>
      </c>
      <c r="AA2" s="278">
        <f>EOMONTH(X2,-3)</f>
        <v>45657</v>
      </c>
      <c r="AB2" s="278">
        <f>EOMONTH(Z2,-3)</f>
        <v>45565</v>
      </c>
      <c r="AC2" s="278">
        <f>EOMONTH(Z2,-3)</f>
        <v>45565</v>
      </c>
      <c r="AD2" s="278">
        <f>EOMONTH(Z2,-6)</f>
        <v>45473</v>
      </c>
      <c r="AE2" s="278">
        <f>EOMONTH(AC2,-3)</f>
        <v>45473</v>
      </c>
      <c r="AF2" s="278">
        <f>EOMONTH(AE2,-3)</f>
        <v>45382</v>
      </c>
      <c r="AG2" s="232"/>
      <c r="AH2" s="278">
        <v>45291</v>
      </c>
      <c r="AI2" s="278">
        <f t="shared" ref="AI2" si="6">AH2</f>
        <v>45291</v>
      </c>
      <c r="AJ2" s="278">
        <f t="shared" ref="AJ2" si="7">EOMONTH(AH2,-3)</f>
        <v>45199</v>
      </c>
      <c r="AK2" s="278">
        <f t="shared" ref="AK2" si="8">AJ2</f>
        <v>45199</v>
      </c>
      <c r="AL2" s="278">
        <f t="shared" ref="AL2" si="9">EOMONTH(AJ2,-3)</f>
        <v>45107</v>
      </c>
      <c r="AM2" s="278">
        <f t="shared" ref="AM2" si="10">AL2</f>
        <v>45107</v>
      </c>
      <c r="AN2" s="278">
        <f>EOMONTH(AM2,-3)</f>
        <v>45016</v>
      </c>
      <c r="AO2" s="232"/>
      <c r="AP2" s="278">
        <v>44926</v>
      </c>
      <c r="AQ2" s="278">
        <f t="shared" ref="AQ2" si="11">AP2</f>
        <v>44926</v>
      </c>
      <c r="AR2" s="278">
        <f t="shared" ref="AR2" si="12">EOMONTH(AP2,-3)</f>
        <v>44834</v>
      </c>
      <c r="AS2" s="278">
        <f t="shared" ref="AS2" si="13">AR2</f>
        <v>44834</v>
      </c>
      <c r="AT2" s="278">
        <f t="shared" ref="AT2" si="14">EOMONTH(AR2,-3)</f>
        <v>44742</v>
      </c>
      <c r="AU2" s="278">
        <f t="shared" ref="AU2" si="15">AT2</f>
        <v>44742</v>
      </c>
      <c r="AV2" s="278">
        <f>EOMONTH(AU2,-3)</f>
        <v>44651</v>
      </c>
    </row>
    <row r="3" spans="1:48" collapsed="1" x14ac:dyDescent="0.2">
      <c r="A3" s="11" t="s">
        <v>5</v>
      </c>
      <c r="B3" s="232"/>
      <c r="C3" s="232"/>
      <c r="D3" s="232"/>
      <c r="E3" s="232"/>
      <c r="F3" s="232"/>
      <c r="G3" s="276"/>
      <c r="H3" s="277"/>
      <c r="I3" s="232"/>
      <c r="J3" s="232"/>
      <c r="K3" s="276"/>
      <c r="L3" s="277"/>
      <c r="M3" s="232"/>
      <c r="N3" s="232"/>
      <c r="O3" s="276"/>
      <c r="P3" s="277"/>
      <c r="Q3" s="232"/>
      <c r="R3" s="276"/>
      <c r="S3" s="277"/>
      <c r="T3" s="232"/>
      <c r="U3" s="232"/>
      <c r="V3" s="232"/>
      <c r="W3" s="232"/>
      <c r="X3" s="232"/>
      <c r="Y3" s="277"/>
      <c r="Z3" s="232"/>
      <c r="AA3" s="232"/>
      <c r="AB3" s="232"/>
      <c r="AC3" s="232"/>
      <c r="AD3" s="232"/>
      <c r="AE3" s="232"/>
      <c r="AF3" s="232"/>
      <c r="AG3" s="232"/>
      <c r="AH3" s="232"/>
      <c r="AI3" s="232"/>
      <c r="AJ3" s="232"/>
      <c r="AK3" s="232"/>
      <c r="AL3" s="232"/>
      <c r="AM3" s="232"/>
      <c r="AN3" s="232"/>
      <c r="AO3" s="232"/>
      <c r="AP3" s="232"/>
      <c r="AQ3" s="232"/>
      <c r="AR3" s="232"/>
      <c r="AS3" s="232"/>
      <c r="AT3" s="232"/>
      <c r="AU3" s="232"/>
      <c r="AV3" s="232"/>
    </row>
    <row r="4" spans="1:48" ht="17.399999999999999" x14ac:dyDescent="0.3">
      <c r="B4" s="145"/>
      <c r="C4" s="121" t="s">
        <v>240</v>
      </c>
      <c r="D4" s="145"/>
      <c r="E4" s="146">
        <f>DateRef</f>
        <v>45930</v>
      </c>
      <c r="F4" s="147"/>
      <c r="I4" s="146"/>
      <c r="J4" s="147"/>
      <c r="T4" s="121" t="s">
        <v>249</v>
      </c>
    </row>
    <row r="5" spans="1:48" ht="26.25" customHeight="1" thickBot="1" x14ac:dyDescent="0.3">
      <c r="C5" s="14" t="s">
        <v>118</v>
      </c>
      <c r="E5" s="15" t="str" cm="1">
        <f t="array" ref="E5">INDEX(TableYtd,MONTH(EOMONTH(DateRef,-12)),2)&amp;YEAR(DateRef)</f>
        <v>9M 2025</v>
      </c>
      <c r="F5" s="15" t="str" cm="1">
        <f t="array" ref="F5">INDEX(TableYtd,MONTH(EOMONTH(DateRef,-12)),2)&amp;YEAR(EOMONTH(DateRef,-12))</f>
        <v>9M 2024</v>
      </c>
      <c r="G5" s="53" t="s">
        <v>119</v>
      </c>
      <c r="H5" s="46"/>
      <c r="I5" s="15" t="str">
        <f>RIGHT(I$1,2)&amp;" "&amp;LEFT(I$1,4)</f>
        <v>Q3 2025</v>
      </c>
      <c r="J5" s="15" t="str">
        <f>RIGHT(J$1,2)&amp;" "&amp;LEFT(J$1,4)</f>
        <v>Q3 2024</v>
      </c>
      <c r="K5" s="53" t="s">
        <v>119</v>
      </c>
      <c r="L5" s="46"/>
      <c r="M5" s="15" t="str">
        <f>RIGHT(M$1,2)&amp;" "&amp;LEFT(M$1,4)</f>
        <v>Q3 2025</v>
      </c>
      <c r="N5" s="15" t="str">
        <f>RIGHT(N$1,2)&amp;" "&amp;LEFT(N$1,4)</f>
        <v>Q3 2024</v>
      </c>
      <c r="O5" s="53" t="s">
        <v>119</v>
      </c>
      <c r="P5" s="46"/>
      <c r="Q5" s="15" t="str">
        <f>RIGHT(Q$1,2)&amp;" "&amp;LEFT(Q$1,4)</f>
        <v>Q2 2025</v>
      </c>
      <c r="R5" s="53" t="s">
        <v>120</v>
      </c>
      <c r="S5" s="46"/>
      <c r="T5" s="15" t="str" cm="1">
        <f t="array" ref="T5">INDEX(TableYtd,MONTH(T$2),2)&amp;YEAR(T$2)</f>
        <v>9M 2025</v>
      </c>
      <c r="U5" s="15" t="str">
        <f>RIGHT(U$1,2)&amp;" "&amp;LEFT(U$1,4)</f>
        <v>Q3 2025</v>
      </c>
      <c r="V5" s="15" t="str" cm="1">
        <f t="array" ref="V5">INDEX(TableYtd,MONTH(V$2),2)&amp;YEAR(V$2)</f>
        <v>H1 2025</v>
      </c>
      <c r="W5" s="15" t="str">
        <f>RIGHT(W$1,2)&amp;" "&amp;LEFT(W$1,4)</f>
        <v>Q2 2025</v>
      </c>
      <c r="X5" s="15" t="str">
        <f>RIGHT(X$1,2)&amp;" "&amp;LEFT(X$1,4)</f>
        <v>Q1 2025</v>
      </c>
      <c r="Y5" s="46"/>
      <c r="Z5" s="15" t="str" cm="1">
        <f t="array" ref="Z5">INDEX(TableYtd,MONTH(Z$2),2)&amp;YEAR(Z$2)</f>
        <v>FY 2024</v>
      </c>
      <c r="AA5" s="15" t="str">
        <f t="shared" ref="AA5:AF5" si="16">RIGHT(AA$1,2)&amp;" "&amp;LEFT(AA$1,4)</f>
        <v>Q4 2024</v>
      </c>
      <c r="AB5" s="15" t="str" cm="1">
        <f t="array" ref="AB5">INDEX(TableYtd,MONTH(AB$2),2)&amp;YEAR(AB$2)</f>
        <v>9M 2024</v>
      </c>
      <c r="AC5" s="15" t="str">
        <f t="shared" si="16"/>
        <v>Q3 2024</v>
      </c>
      <c r="AD5" s="15" t="str" cm="1">
        <f t="array" ref="AD5">INDEX(TableYtd,MONTH(AD$2),2)&amp;YEAR(AD$2)</f>
        <v>H1 2024</v>
      </c>
      <c r="AE5" s="15" t="str">
        <f t="shared" si="16"/>
        <v>Q2 2024</v>
      </c>
      <c r="AF5" s="15" t="str">
        <f t="shared" si="16"/>
        <v>Q1 2024</v>
      </c>
      <c r="AH5" s="15" t="str" cm="1">
        <f t="array" ref="AH5">INDEX(TableYtd,MONTH(AH$2),2)&amp;YEAR(AH$2)</f>
        <v>FY 2023</v>
      </c>
      <c r="AI5" s="15" t="str">
        <f t="shared" ref="AI5" si="17">RIGHT(AI$1,2)&amp;" "&amp;LEFT(AI$1,4)</f>
        <v>Q4 2023</v>
      </c>
      <c r="AJ5" s="15" t="str" cm="1">
        <f t="array" ref="AJ5">INDEX(TableYtd,MONTH(AJ$2),2)&amp;YEAR(AJ$2)</f>
        <v>9M 2023</v>
      </c>
      <c r="AK5" s="15" t="str">
        <f t="shared" ref="AK5" si="18">RIGHT(AK$1,2)&amp;" "&amp;LEFT(AK$1,4)</f>
        <v>Q3 2023</v>
      </c>
      <c r="AL5" s="15" t="str" cm="1">
        <f t="array" ref="AL5">INDEX(TableYtd,MONTH(AL$2),2)&amp;YEAR(AL$2)</f>
        <v>H1 2023</v>
      </c>
      <c r="AM5" s="15" t="str">
        <f t="shared" ref="AM5" si="19">RIGHT(AM$1,2)&amp;" "&amp;LEFT(AM$1,4)</f>
        <v>Q2 2023</v>
      </c>
      <c r="AN5" s="15" t="str">
        <f t="shared" ref="AN5" si="20">RIGHT(AN$1,2)&amp;" "&amp;LEFT(AN$1,4)</f>
        <v>Q1 2023</v>
      </c>
      <c r="AP5" s="15" t="str" cm="1">
        <f t="array" ref="AP5">INDEX(TableYtd,MONTH(AP$2),2)&amp;YEAR(AP$2)</f>
        <v>FY 2022</v>
      </c>
      <c r="AQ5" s="15" t="str">
        <f t="shared" ref="AQ5" si="21">RIGHT(AQ$1,2)&amp;" "&amp;LEFT(AQ$1,4)</f>
        <v>Q4 2022</v>
      </c>
      <c r="AR5" s="15" t="str" cm="1">
        <f t="array" ref="AR5">INDEX(TableYtd,MONTH(AR$2),2)&amp;YEAR(AR$2)</f>
        <v>9M 2022</v>
      </c>
      <c r="AS5" s="15" t="str">
        <f t="shared" ref="AS5" si="22">RIGHT(AS$1,2)&amp;" "&amp;LEFT(AS$1,4)</f>
        <v>Q3 2022</v>
      </c>
      <c r="AT5" s="15" t="str" cm="1">
        <f t="array" ref="AT5">INDEX(TableYtd,MONTH(AT$2),2)&amp;YEAR(AT$2)</f>
        <v>H1 2022</v>
      </c>
      <c r="AU5" s="15" t="str">
        <f t="shared" ref="AU5:AV5" si="23">RIGHT(AU$1,2)&amp;" "&amp;LEFT(AU$1,4)</f>
        <v>Q2 2022</v>
      </c>
      <c r="AV5" s="15" t="str">
        <f t="shared" si="23"/>
        <v>Q1 2022</v>
      </c>
    </row>
    <row r="6" spans="1:48" x14ac:dyDescent="0.2">
      <c r="A6" s="11" t="s">
        <v>24</v>
      </c>
      <c r="B6" s="77"/>
      <c r="C6" s="76" t="s">
        <v>173</v>
      </c>
      <c r="D6" s="77"/>
      <c r="E6" s="78">
        <v>2288.9132679799995</v>
      </c>
      <c r="F6" s="78">
        <v>2364.2444948100001</v>
      </c>
      <c r="G6" s="79">
        <f>IF(ISERROR($E6*F6),"NM",IF($E6*F6&gt;0,IF(E6/F6&gt;2,"NM",E6/F6-1),"NM"))</f>
        <v>-3.1862705822248039E-2</v>
      </c>
      <c r="H6" s="80"/>
      <c r="I6" s="78">
        <v>747.20128153999985</v>
      </c>
      <c r="J6" s="78">
        <v>804.50904794000053</v>
      </c>
      <c r="K6" s="79">
        <f>IF(ISERROR($E6*J6),"NM",IF($E6*J6&gt;0,IF(I6/J6&gt;2,"NM",I6/J6-1),"NM"))</f>
        <v>-7.1233215520373649E-2</v>
      </c>
      <c r="L6" s="80"/>
      <c r="M6" s="78">
        <v>747.20128153999985</v>
      </c>
      <c r="N6" s="78">
        <v>804.50904794000053</v>
      </c>
      <c r="O6" s="79">
        <f>IF(ISERROR($M6*N6),"NM",IF($M6*N6&gt;0,IF(M6/N6&gt;2,"NM",M6/N6-1),"NM"))</f>
        <v>-7.1233215520373649E-2</v>
      </c>
      <c r="P6" s="80"/>
      <c r="Q6" s="78">
        <v>717.31139664000011</v>
      </c>
      <c r="R6" s="79">
        <f>IF(ISERROR($M6*Q6),"NM",IF($M6*Q6&gt;0,IF(M6/Q6&gt;2,"NM",M6/Q6-1),"NM"))</f>
        <v>4.1669329443263736E-2</v>
      </c>
      <c r="S6" s="80"/>
      <c r="T6" s="78">
        <v>2288.9132679799995</v>
      </c>
      <c r="U6" s="78">
        <v>747.20128153999985</v>
      </c>
      <c r="V6" s="78">
        <v>1541.7119864400001</v>
      </c>
      <c r="W6" s="78">
        <v>717.31139664000011</v>
      </c>
      <c r="X6" s="78">
        <v>824.40058979999992</v>
      </c>
      <c r="Y6" s="80"/>
      <c r="Z6" s="78">
        <v>3184.2955421800002</v>
      </c>
      <c r="AA6" s="78">
        <v>820.05104737000022</v>
      </c>
      <c r="AB6" s="78">
        <v>2364.2444948100001</v>
      </c>
      <c r="AC6" s="78">
        <v>804.50904794000053</v>
      </c>
      <c r="AD6" s="78">
        <v>1559.7354468699994</v>
      </c>
      <c r="AE6" s="78">
        <v>794.03961635999974</v>
      </c>
      <c r="AF6" s="78">
        <v>765.69583050999961</v>
      </c>
      <c r="AH6" s="78">
        <v>2940.0267460100004</v>
      </c>
      <c r="AI6" s="78">
        <v>722.77553338999974</v>
      </c>
      <c r="AJ6" s="78">
        <v>2217.2512126200008</v>
      </c>
      <c r="AK6" s="78">
        <v>736.52284366999936</v>
      </c>
      <c r="AL6" s="78">
        <v>1480.7283689500014</v>
      </c>
      <c r="AM6" s="78">
        <v>744.43705294000074</v>
      </c>
      <c r="AN6" s="78">
        <v>736.29131601000051</v>
      </c>
      <c r="AP6" s="78">
        <v>2965.48291006</v>
      </c>
      <c r="AQ6" s="78">
        <v>720.02061942999967</v>
      </c>
      <c r="AR6" s="78">
        <v>2245.4622906300006</v>
      </c>
      <c r="AS6" s="78">
        <v>746.68402649000029</v>
      </c>
      <c r="AT6" s="78">
        <v>1498.7782641400001</v>
      </c>
      <c r="AU6" s="78">
        <v>732.97872654000025</v>
      </c>
      <c r="AV6" s="78">
        <v>765.79953759999978</v>
      </c>
    </row>
    <row r="7" spans="1:48" x14ac:dyDescent="0.2">
      <c r="A7" s="11" t="s">
        <v>25</v>
      </c>
      <c r="B7" s="77"/>
      <c r="C7" s="81" t="s">
        <v>78</v>
      </c>
      <c r="D7" s="77"/>
      <c r="E7" s="82">
        <v>90.873964529999995</v>
      </c>
      <c r="F7" s="82">
        <v>87.506227170000003</v>
      </c>
      <c r="G7" s="83">
        <f t="shared" ref="G7:G68" si="24">IF(ISERROR($E7*F7),"NM",IF($E7*F7&gt;0,IF(E7/F7&gt;2,"NM",E7/F7-1),"NM"))</f>
        <v>3.8485688035177379E-2</v>
      </c>
      <c r="H7" s="80"/>
      <c r="I7" s="82">
        <v>33.198177129999998</v>
      </c>
      <c r="J7" s="82">
        <v>20.378085539999987</v>
      </c>
      <c r="K7" s="83">
        <f t="shared" ref="K7:K11" si="25">IF(ISERROR($E7*J7),"NM",IF($E7*J7&gt;0,IF(I7/J7&gt;2,"NM",I7/J7-1),"NM"))</f>
        <v>0.62911167807375978</v>
      </c>
      <c r="L7" s="80"/>
      <c r="M7" s="82">
        <v>33.198177129999998</v>
      </c>
      <c r="N7" s="82">
        <v>20.378085539999987</v>
      </c>
      <c r="O7" s="83">
        <f t="shared" ref="O7:O68" si="26">IF(ISERROR($M7*N7),"NM",IF($M7*N7&gt;0,IF(M7/N7&gt;2,"NM",M7/N7-1),"NM"))</f>
        <v>0.62911167807375978</v>
      </c>
      <c r="P7" s="80"/>
      <c r="Q7" s="82">
        <v>34.788250260000005</v>
      </c>
      <c r="R7" s="83">
        <f t="shared" ref="R7:R68" si="27">IF(ISERROR($M7*Q7),"NM",IF($M7*Q7&gt;0,IF(M7/Q7&gt;2,"NM",M7/Q7-1),"NM"))</f>
        <v>-4.5707189011121252E-2</v>
      </c>
      <c r="S7" s="80"/>
      <c r="T7" s="82">
        <v>90.873964529999995</v>
      </c>
      <c r="U7" s="82">
        <v>33.198177129999998</v>
      </c>
      <c r="V7" s="82">
        <v>57.675787400000004</v>
      </c>
      <c r="W7" s="82">
        <v>34.788250260000005</v>
      </c>
      <c r="X7" s="82">
        <v>22.887537139999999</v>
      </c>
      <c r="Y7" s="80"/>
      <c r="Z7" s="82">
        <v>144.68957838999998</v>
      </c>
      <c r="AA7" s="82">
        <v>57.183351219999977</v>
      </c>
      <c r="AB7" s="82">
        <v>87.506227170000003</v>
      </c>
      <c r="AC7" s="82">
        <v>20.378085539999987</v>
      </c>
      <c r="AD7" s="82">
        <v>67.128141630000016</v>
      </c>
      <c r="AE7" s="82">
        <v>49.620859790000011</v>
      </c>
      <c r="AF7" s="82">
        <v>17.507281840000005</v>
      </c>
      <c r="AH7" s="82">
        <v>123.39406031999999</v>
      </c>
      <c r="AI7" s="82">
        <v>34.128891799999963</v>
      </c>
      <c r="AJ7" s="82">
        <v>89.265168520000032</v>
      </c>
      <c r="AK7" s="82">
        <v>10.329344820000031</v>
      </c>
      <c r="AL7" s="82">
        <v>78.9358237</v>
      </c>
      <c r="AM7" s="82">
        <v>50.554393719999993</v>
      </c>
      <c r="AN7" s="82">
        <v>28.381429980000007</v>
      </c>
      <c r="AP7" s="82">
        <v>170.82210918999999</v>
      </c>
      <c r="AQ7" s="82">
        <v>63.013653749999989</v>
      </c>
      <c r="AR7" s="82">
        <v>107.80845544</v>
      </c>
      <c r="AS7" s="82">
        <v>12.69848906999998</v>
      </c>
      <c r="AT7" s="82">
        <v>95.109966370000024</v>
      </c>
      <c r="AU7" s="82">
        <v>24.185671119999995</v>
      </c>
      <c r="AV7" s="82">
        <v>70.924295250000029</v>
      </c>
    </row>
    <row r="8" spans="1:48" hidden="1" x14ac:dyDescent="0.2">
      <c r="A8" s="11" t="s">
        <v>26</v>
      </c>
      <c r="B8" s="77"/>
      <c r="C8" s="148" t="s">
        <v>79</v>
      </c>
      <c r="D8" s="77"/>
      <c r="E8" s="129">
        <v>90.873964529999995</v>
      </c>
      <c r="F8" s="129">
        <v>87.506227170000003</v>
      </c>
      <c r="G8" s="130">
        <f t="shared" si="24"/>
        <v>3.8485688035177379E-2</v>
      </c>
      <c r="H8" s="80"/>
      <c r="I8" s="129">
        <v>33.198177129999998</v>
      </c>
      <c r="J8" s="129">
        <v>20.378085539999987</v>
      </c>
      <c r="K8" s="130">
        <f t="shared" si="25"/>
        <v>0.62911167807375978</v>
      </c>
      <c r="L8" s="80"/>
      <c r="M8" s="129">
        <v>33.198177129999998</v>
      </c>
      <c r="N8" s="129">
        <v>20.378085539999987</v>
      </c>
      <c r="O8" s="130">
        <f t="shared" si="26"/>
        <v>0.62911167807375978</v>
      </c>
      <c r="P8" s="80"/>
      <c r="Q8" s="129">
        <v>34.788250260000005</v>
      </c>
      <c r="R8" s="130">
        <f t="shared" si="27"/>
        <v>-4.5707189011121252E-2</v>
      </c>
      <c r="S8" s="80"/>
      <c r="T8" s="129">
        <v>90.873964529999995</v>
      </c>
      <c r="U8" s="129">
        <v>33.198177129999998</v>
      </c>
      <c r="V8" s="129">
        <v>57.675787400000004</v>
      </c>
      <c r="W8" s="129">
        <v>34.788250260000005</v>
      </c>
      <c r="X8" s="129">
        <v>22.887537139999999</v>
      </c>
      <c r="Y8" s="80"/>
      <c r="Z8" s="129">
        <v>144.68957838999998</v>
      </c>
      <c r="AA8" s="129">
        <v>57.183351219999977</v>
      </c>
      <c r="AB8" s="129">
        <v>87.506227170000003</v>
      </c>
      <c r="AC8" s="129">
        <v>20.378085539999987</v>
      </c>
      <c r="AD8" s="129">
        <v>67.128141630000016</v>
      </c>
      <c r="AE8" s="129">
        <v>49.620859790000011</v>
      </c>
      <c r="AF8" s="129">
        <v>17.507281840000005</v>
      </c>
      <c r="AH8" s="129">
        <v>123.39406031999999</v>
      </c>
      <c r="AI8" s="129">
        <v>34.128891799999963</v>
      </c>
      <c r="AJ8" s="129">
        <v>89.265168520000032</v>
      </c>
      <c r="AK8" s="129">
        <v>10.329344820000031</v>
      </c>
      <c r="AL8" s="129">
        <v>78.9358237</v>
      </c>
      <c r="AM8" s="129">
        <v>50.554393719999993</v>
      </c>
      <c r="AN8" s="129">
        <v>28.381429980000007</v>
      </c>
      <c r="AP8" s="129">
        <v>170.82210918999999</v>
      </c>
      <c r="AQ8" s="129">
        <v>63.013653749999989</v>
      </c>
      <c r="AR8" s="129">
        <v>107.80845544</v>
      </c>
      <c r="AS8" s="129">
        <v>12.69848906999998</v>
      </c>
      <c r="AT8" s="129">
        <v>95.109966370000024</v>
      </c>
      <c r="AU8" s="129">
        <v>24.185671119999995</v>
      </c>
      <c r="AV8" s="129">
        <v>70.924295250000029</v>
      </c>
    </row>
    <row r="9" spans="1:48" x14ac:dyDescent="0.2">
      <c r="A9" s="11" t="s">
        <v>27</v>
      </c>
      <c r="B9" s="77"/>
      <c r="C9" s="84" t="s">
        <v>80</v>
      </c>
      <c r="D9" s="77"/>
      <c r="E9" s="82">
        <v>2379.7872325099997</v>
      </c>
      <c r="F9" s="82">
        <v>2451.75072198</v>
      </c>
      <c r="G9" s="83">
        <f t="shared" si="24"/>
        <v>-2.9351878567770329E-2</v>
      </c>
      <c r="H9" s="80"/>
      <c r="I9" s="82">
        <v>780.39945866999983</v>
      </c>
      <c r="J9" s="82">
        <v>824.88713348000056</v>
      </c>
      <c r="K9" s="83">
        <f t="shared" si="25"/>
        <v>-5.3931832616079145E-2</v>
      </c>
      <c r="L9" s="80"/>
      <c r="M9" s="82">
        <v>780.39945866999983</v>
      </c>
      <c r="N9" s="82">
        <v>824.88713348000056</v>
      </c>
      <c r="O9" s="83">
        <f t="shared" si="26"/>
        <v>-5.3931832616079145E-2</v>
      </c>
      <c r="P9" s="80"/>
      <c r="Q9" s="82">
        <v>752.09964690000015</v>
      </c>
      <c r="R9" s="83">
        <f t="shared" si="27"/>
        <v>3.762774239643063E-2</v>
      </c>
      <c r="S9" s="80"/>
      <c r="T9" s="82">
        <v>2379.7872325099997</v>
      </c>
      <c r="U9" s="82">
        <v>780.39945866999983</v>
      </c>
      <c r="V9" s="82">
        <v>1599.3877738400001</v>
      </c>
      <c r="W9" s="82">
        <v>752.09964690000015</v>
      </c>
      <c r="X9" s="82">
        <v>847.28812693999987</v>
      </c>
      <c r="Y9" s="80"/>
      <c r="Z9" s="82">
        <v>3328.9851205700002</v>
      </c>
      <c r="AA9" s="82">
        <v>877.23439859000018</v>
      </c>
      <c r="AB9" s="82">
        <v>2451.75072198</v>
      </c>
      <c r="AC9" s="82">
        <v>824.88713348000056</v>
      </c>
      <c r="AD9" s="82">
        <v>1626.8635884999994</v>
      </c>
      <c r="AE9" s="82">
        <v>843.66047614999979</v>
      </c>
      <c r="AF9" s="82">
        <v>783.20311234999963</v>
      </c>
      <c r="AH9" s="82">
        <v>3063.4208063300002</v>
      </c>
      <c r="AI9" s="82">
        <v>756.90442518999976</v>
      </c>
      <c r="AJ9" s="82">
        <v>2306.5163811400007</v>
      </c>
      <c r="AK9" s="82">
        <v>746.85218848999943</v>
      </c>
      <c r="AL9" s="82">
        <v>1559.6641926500013</v>
      </c>
      <c r="AM9" s="82">
        <v>794.99144666000075</v>
      </c>
      <c r="AN9" s="82">
        <v>764.67274599000052</v>
      </c>
      <c r="AP9" s="82">
        <v>3136.30501925</v>
      </c>
      <c r="AQ9" s="82">
        <v>783.03427317999967</v>
      </c>
      <c r="AR9" s="82">
        <v>2353.2707460700008</v>
      </c>
      <c r="AS9" s="82">
        <v>759.38251556000023</v>
      </c>
      <c r="AT9" s="82">
        <v>1593.8882305100001</v>
      </c>
      <c r="AU9" s="82">
        <v>757.1643976600003</v>
      </c>
      <c r="AV9" s="82">
        <v>836.72383284999978</v>
      </c>
    </row>
    <row r="10" spans="1:48" hidden="1" x14ac:dyDescent="0.2">
      <c r="A10" s="11" t="s">
        <v>28</v>
      </c>
      <c r="B10" s="77"/>
      <c r="C10" s="131" t="s">
        <v>81</v>
      </c>
      <c r="D10" s="77"/>
      <c r="E10" s="132">
        <v>2379.7872325099997</v>
      </c>
      <c r="F10" s="132">
        <v>2451.75072198</v>
      </c>
      <c r="G10" s="133">
        <f t="shared" si="24"/>
        <v>-2.9351878567770329E-2</v>
      </c>
      <c r="H10" s="134"/>
      <c r="I10" s="132">
        <v>780.39945866999983</v>
      </c>
      <c r="J10" s="132">
        <v>824.88713348000056</v>
      </c>
      <c r="K10" s="133">
        <f t="shared" si="25"/>
        <v>-5.3931832616079145E-2</v>
      </c>
      <c r="L10" s="134"/>
      <c r="M10" s="132">
        <v>780.39945866999983</v>
      </c>
      <c r="N10" s="132">
        <v>824.88713348000056</v>
      </c>
      <c r="O10" s="133">
        <f t="shared" si="26"/>
        <v>-5.3931832616079145E-2</v>
      </c>
      <c r="P10" s="134"/>
      <c r="Q10" s="132">
        <v>752.09964690000015</v>
      </c>
      <c r="R10" s="133">
        <f t="shared" si="27"/>
        <v>3.762774239643063E-2</v>
      </c>
      <c r="S10" s="134"/>
      <c r="T10" s="132">
        <v>2379.7872325099997</v>
      </c>
      <c r="U10" s="132">
        <v>780.39945866999983</v>
      </c>
      <c r="V10" s="132">
        <v>1599.3877738400001</v>
      </c>
      <c r="W10" s="132">
        <v>752.09964690000015</v>
      </c>
      <c r="X10" s="132">
        <v>847.28812693999987</v>
      </c>
      <c r="Y10" s="134"/>
      <c r="Z10" s="132">
        <v>3328.9851205700002</v>
      </c>
      <c r="AA10" s="132">
        <v>877.23439859000018</v>
      </c>
      <c r="AB10" s="132">
        <v>2451.75072198</v>
      </c>
      <c r="AC10" s="132">
        <v>824.88713348000056</v>
      </c>
      <c r="AD10" s="132">
        <v>1626.8635884999994</v>
      </c>
      <c r="AE10" s="132">
        <v>843.66047614999979</v>
      </c>
      <c r="AF10" s="132">
        <v>783.20311234999963</v>
      </c>
      <c r="AH10" s="132">
        <v>3063.4208063300002</v>
      </c>
      <c r="AI10" s="132">
        <v>756.90442518999976</v>
      </c>
      <c r="AJ10" s="132">
        <v>2306.5163811400007</v>
      </c>
      <c r="AK10" s="132">
        <v>746.85218848999943</v>
      </c>
      <c r="AL10" s="132">
        <v>1559.6641926500013</v>
      </c>
      <c r="AM10" s="132">
        <v>794.99144666000075</v>
      </c>
      <c r="AN10" s="132">
        <v>764.67274599000052</v>
      </c>
      <c r="AP10" s="132">
        <v>3136.30501925</v>
      </c>
      <c r="AQ10" s="132">
        <v>783.03427317999967</v>
      </c>
      <c r="AR10" s="132">
        <v>2353.2707460700008</v>
      </c>
      <c r="AS10" s="132">
        <v>759.38251556000023</v>
      </c>
      <c r="AT10" s="132">
        <v>1593.8882305100001</v>
      </c>
      <c r="AU10" s="132">
        <v>757.1643976600003</v>
      </c>
      <c r="AV10" s="132">
        <v>836.72383284999978</v>
      </c>
    </row>
    <row r="11" spans="1:48" x14ac:dyDescent="0.2">
      <c r="A11" s="11" t="s">
        <v>29</v>
      </c>
      <c r="B11" s="77"/>
      <c r="C11" s="84" t="s">
        <v>267</v>
      </c>
      <c r="D11" s="77"/>
      <c r="E11" s="82">
        <v>80.630138700000003</v>
      </c>
      <c r="F11" s="82">
        <v>54.31512282999995</v>
      </c>
      <c r="G11" s="83">
        <f t="shared" si="24"/>
        <v>0.48448782767854559</v>
      </c>
      <c r="H11" s="80"/>
      <c r="I11" s="82">
        <v>29.121314640000001</v>
      </c>
      <c r="J11" s="82">
        <v>19.503094319999999</v>
      </c>
      <c r="K11" s="83">
        <f t="shared" si="25"/>
        <v>0.49316381094136053</v>
      </c>
      <c r="L11" s="80"/>
      <c r="M11" s="82">
        <v>29.121314640000001</v>
      </c>
      <c r="N11" s="82">
        <v>19.503094319999999</v>
      </c>
      <c r="O11" s="83">
        <f t="shared" si="26"/>
        <v>0.49316381094136053</v>
      </c>
      <c r="P11" s="80"/>
      <c r="Q11" s="82">
        <v>25.849257659999989</v>
      </c>
      <c r="R11" s="83">
        <f t="shared" si="27"/>
        <v>0.126582241665814</v>
      </c>
      <c r="S11" s="80"/>
      <c r="T11" s="82">
        <v>80.630138700000003</v>
      </c>
      <c r="U11" s="82">
        <v>29.121314640000001</v>
      </c>
      <c r="V11" s="82">
        <v>51.508824059999995</v>
      </c>
      <c r="W11" s="82">
        <v>25.849257659999989</v>
      </c>
      <c r="X11" s="82">
        <v>25.65956640000001</v>
      </c>
      <c r="Y11" s="80"/>
      <c r="Z11" s="82">
        <v>80.168684900000031</v>
      </c>
      <c r="AA11" s="82">
        <v>25.853562070000084</v>
      </c>
      <c r="AB11" s="82">
        <v>54.31512282999995</v>
      </c>
      <c r="AC11" s="82">
        <v>19.503094319999999</v>
      </c>
      <c r="AD11" s="82">
        <v>34.812028509999948</v>
      </c>
      <c r="AE11" s="82">
        <v>17.257334369999956</v>
      </c>
      <c r="AF11" s="82">
        <v>17.554694139999992</v>
      </c>
      <c r="AH11" s="82">
        <v>59.933046119999972</v>
      </c>
      <c r="AI11" s="82">
        <v>17.575384759999984</v>
      </c>
      <c r="AJ11" s="82">
        <v>42.357661359999987</v>
      </c>
      <c r="AK11" s="82">
        <v>13.751170089999992</v>
      </c>
      <c r="AL11" s="82">
        <v>28.606491269999996</v>
      </c>
      <c r="AM11" s="82">
        <v>15.671642119999991</v>
      </c>
      <c r="AN11" s="82">
        <v>12.934849150000005</v>
      </c>
      <c r="AP11" s="82">
        <v>48.488802160000006</v>
      </c>
      <c r="AQ11" s="82">
        <v>14.819013320000085</v>
      </c>
      <c r="AR11" s="82">
        <v>33.669788839999917</v>
      </c>
      <c r="AS11" s="82">
        <v>12.165520599999923</v>
      </c>
      <c r="AT11" s="82">
        <v>21.504268239999995</v>
      </c>
      <c r="AU11" s="82">
        <v>11.925809059999988</v>
      </c>
      <c r="AV11" s="82">
        <v>9.5784591800000065</v>
      </c>
    </row>
    <row r="12" spans="1:48" ht="12" x14ac:dyDescent="0.25">
      <c r="A12" s="11" t="s">
        <v>30</v>
      </c>
      <c r="B12" s="136"/>
      <c r="C12" s="135" t="s">
        <v>265</v>
      </c>
      <c r="D12" s="136"/>
      <c r="E12" s="137">
        <v>-2.0386913699999951</v>
      </c>
      <c r="F12" s="137">
        <v>-0.85674563000002024</v>
      </c>
      <c r="G12" s="138" t="str">
        <f>IF(ISERROR($E12*F12),"NM",IF($E12*F12&gt;0,IF(E12/F12&gt;2,"NM",E12/F12-1),"NM"))</f>
        <v>NM</v>
      </c>
      <c r="H12" s="139"/>
      <c r="I12" s="137">
        <v>-14.100910229999785</v>
      </c>
      <c r="J12" s="137">
        <v>-6.3697731700000588</v>
      </c>
      <c r="K12" s="138" t="str">
        <f>IF(ISERROR($E12*J12),"NM",IF($E12*J12&gt;0,IF(I12/J12&gt;2,"NM",I12/J12-1),"NM"))</f>
        <v>NM</v>
      </c>
      <c r="L12" s="139"/>
      <c r="M12" s="137">
        <v>-14.100910229999785</v>
      </c>
      <c r="N12" s="137">
        <v>-6.3697731700000588</v>
      </c>
      <c r="O12" s="138" t="str">
        <f t="shared" si="26"/>
        <v>NM</v>
      </c>
      <c r="P12" s="139"/>
      <c r="Q12" s="137">
        <v>-7.4061154600001835</v>
      </c>
      <c r="R12" s="138">
        <f t="shared" si="27"/>
        <v>0.90395495535515669</v>
      </c>
      <c r="S12" s="139"/>
      <c r="T12" s="137">
        <v>-2.0386913699999951</v>
      </c>
      <c r="U12" s="137">
        <v>-14.100910229999785</v>
      </c>
      <c r="V12" s="137">
        <v>12.062218859999795</v>
      </c>
      <c r="W12" s="137">
        <v>-7.4061154600001835</v>
      </c>
      <c r="X12" s="137">
        <v>19.468334319999979</v>
      </c>
      <c r="Y12" s="139"/>
      <c r="Z12" s="137">
        <v>-3.3007283699996179</v>
      </c>
      <c r="AA12" s="137">
        <v>-2.4439827399995977</v>
      </c>
      <c r="AB12" s="137">
        <v>-0.85674563000002024</v>
      </c>
      <c r="AC12" s="137">
        <v>-6.3697731700000588</v>
      </c>
      <c r="AD12" s="137">
        <v>5.5130275400000386</v>
      </c>
      <c r="AE12" s="137">
        <v>2.6084629300000444</v>
      </c>
      <c r="AF12" s="137">
        <v>2.9045646099999942</v>
      </c>
      <c r="AG12" s="140"/>
      <c r="AH12" s="137">
        <v>-1.1449145499993989</v>
      </c>
      <c r="AI12" s="137">
        <v>11.592107020000498</v>
      </c>
      <c r="AJ12" s="137">
        <v>-12.737021569999882</v>
      </c>
      <c r="AK12" s="137">
        <v>-0.98013288999986869</v>
      </c>
      <c r="AL12" s="137">
        <v>-11.756888680000017</v>
      </c>
      <c r="AM12" s="137">
        <v>-7.6268880399999652</v>
      </c>
      <c r="AN12" s="137">
        <v>-4.130000640000052</v>
      </c>
      <c r="AO12" s="140"/>
      <c r="AP12" s="137">
        <v>-129.26686678000024</v>
      </c>
      <c r="AQ12" s="137">
        <v>-27.892570719998933</v>
      </c>
      <c r="AR12" s="137">
        <v>-101.37429606000131</v>
      </c>
      <c r="AS12" s="137">
        <v>-33.783438390001777</v>
      </c>
      <c r="AT12" s="137">
        <v>-67.590857669999536</v>
      </c>
      <c r="AU12" s="137">
        <v>-35.535929469999658</v>
      </c>
      <c r="AV12" s="137">
        <v>-32.054928199999885</v>
      </c>
    </row>
    <row r="13" spans="1:48" ht="12" x14ac:dyDescent="0.25">
      <c r="A13" s="11" t="s">
        <v>31</v>
      </c>
      <c r="B13" s="136"/>
      <c r="C13" s="141" t="s">
        <v>266</v>
      </c>
      <c r="D13" s="136"/>
      <c r="E13" s="142">
        <v>57.39187063</v>
      </c>
      <c r="F13" s="142">
        <v>67.011586646666643</v>
      </c>
      <c r="G13" s="143">
        <f t="shared" si="24"/>
        <v>-0.143553025648963</v>
      </c>
      <c r="H13" s="144"/>
      <c r="I13" s="142">
        <v>5.7234287700002149</v>
      </c>
      <c r="J13" s="142">
        <v>17.378506116666607</v>
      </c>
      <c r="K13" s="143">
        <f t="shared" ref="K13:K41" si="28">IF(ISERROR($E13*J13),"NM",IF($E13*J13&gt;0,IF(I13/J13&gt;2,"NM",I13/J13-1),"NM"))</f>
        <v>-0.67066048533876899</v>
      </c>
      <c r="L13" s="144"/>
      <c r="M13" s="142">
        <v>5.7234287700002149</v>
      </c>
      <c r="N13" s="142">
        <v>17.378506116666607</v>
      </c>
      <c r="O13" s="143">
        <f t="shared" si="26"/>
        <v>-0.67066048533876899</v>
      </c>
      <c r="P13" s="144"/>
      <c r="Q13" s="142">
        <v>12.410804829999815</v>
      </c>
      <c r="R13" s="143">
        <f t="shared" si="27"/>
        <v>-0.53883500317680033</v>
      </c>
      <c r="S13" s="144"/>
      <c r="T13" s="142">
        <v>57.39187063</v>
      </c>
      <c r="U13" s="142">
        <v>5.7234287700002149</v>
      </c>
      <c r="V13" s="142">
        <v>51.668441859999795</v>
      </c>
      <c r="W13" s="142">
        <v>12.410804829999815</v>
      </c>
      <c r="X13" s="142">
        <v>39.257637029999977</v>
      </c>
      <c r="Y13" s="144"/>
      <c r="Z13" s="142">
        <v>88.332199090000387</v>
      </c>
      <c r="AA13" s="142">
        <v>21.320612443333733</v>
      </c>
      <c r="AB13" s="142">
        <v>67.011586646666643</v>
      </c>
      <c r="AC13" s="142">
        <v>17.378506116666607</v>
      </c>
      <c r="AD13" s="142">
        <v>49.633080530000036</v>
      </c>
      <c r="AE13" s="142">
        <v>26.331493220000041</v>
      </c>
      <c r="AF13" s="142">
        <v>23.301587309999995</v>
      </c>
      <c r="AG13" s="140"/>
      <c r="AH13" s="142">
        <v>80.499127680000598</v>
      </c>
      <c r="AI13" s="142">
        <v>31.995822830000492</v>
      </c>
      <c r="AJ13" s="142">
        <v>48.503304850000127</v>
      </c>
      <c r="AK13" s="142">
        <v>19.430706200000134</v>
      </c>
      <c r="AL13" s="142">
        <v>29.072598649999989</v>
      </c>
      <c r="AM13" s="142">
        <v>12.787495090000036</v>
      </c>
      <c r="AN13" s="142">
        <v>16.28510355999995</v>
      </c>
      <c r="AO13" s="140"/>
      <c r="AP13" s="142">
        <v>-47.649766330000261</v>
      </c>
      <c r="AQ13" s="142">
        <v>-7.4861968799989391</v>
      </c>
      <c r="AR13" s="142">
        <v>-40.163569450001319</v>
      </c>
      <c r="AS13" s="142">
        <v>-13.378796190001776</v>
      </c>
      <c r="AT13" s="142">
        <v>-26.78477325999954</v>
      </c>
      <c r="AU13" s="142">
        <v>-15.13269837999966</v>
      </c>
      <c r="AV13" s="142">
        <v>-11.652074879999883</v>
      </c>
    </row>
    <row r="14" spans="1:48" ht="12" x14ac:dyDescent="0.25">
      <c r="A14" s="11" t="s">
        <v>32</v>
      </c>
      <c r="C14" s="17" t="s">
        <v>83</v>
      </c>
      <c r="E14" s="24">
        <v>2458.3786798399997</v>
      </c>
      <c r="F14" s="24">
        <v>2505.2090991799996</v>
      </c>
      <c r="G14" s="21">
        <f t="shared" si="24"/>
        <v>-1.869321780578248E-2</v>
      </c>
      <c r="H14" s="47"/>
      <c r="I14" s="24">
        <v>795.41986308000003</v>
      </c>
      <c r="J14" s="24">
        <v>838.02045463000047</v>
      </c>
      <c r="K14" s="21">
        <f t="shared" si="28"/>
        <v>-5.0834787283097205E-2</v>
      </c>
      <c r="L14" s="47"/>
      <c r="M14" s="24">
        <v>795.41986308000003</v>
      </c>
      <c r="N14" s="24">
        <v>838.02045463000047</v>
      </c>
      <c r="O14" s="21">
        <f t="shared" si="26"/>
        <v>-5.0834787283097205E-2</v>
      </c>
      <c r="P14" s="47"/>
      <c r="Q14" s="24">
        <v>770.54278910000005</v>
      </c>
      <c r="R14" s="21">
        <f t="shared" si="27"/>
        <v>3.2285129822649639E-2</v>
      </c>
      <c r="S14" s="47"/>
      <c r="T14" s="24">
        <v>2458.3786798399997</v>
      </c>
      <c r="U14" s="24">
        <v>795.41986308000003</v>
      </c>
      <c r="V14" s="24">
        <v>1662.95881676</v>
      </c>
      <c r="W14" s="24">
        <v>770.54278910000005</v>
      </c>
      <c r="X14" s="24">
        <v>892.41602765999983</v>
      </c>
      <c r="Y14" s="47"/>
      <c r="Z14" s="24">
        <v>3405.853077100001</v>
      </c>
      <c r="AA14" s="24">
        <v>900.64397792000068</v>
      </c>
      <c r="AB14" s="24">
        <v>2505.2090991799996</v>
      </c>
      <c r="AC14" s="24">
        <v>838.02045463000047</v>
      </c>
      <c r="AD14" s="24">
        <v>1667.1886445499993</v>
      </c>
      <c r="AE14" s="24">
        <v>863.52627344999985</v>
      </c>
      <c r="AF14" s="24">
        <v>803.66237109999963</v>
      </c>
      <c r="AH14" s="24">
        <v>3122.2089379000004</v>
      </c>
      <c r="AI14" s="24">
        <v>786.0719169700003</v>
      </c>
      <c r="AJ14" s="24">
        <v>2336.1370209300007</v>
      </c>
      <c r="AK14" s="24">
        <v>759.62322568999957</v>
      </c>
      <c r="AL14" s="24">
        <v>1576.5137952400014</v>
      </c>
      <c r="AM14" s="24">
        <v>803.03620074000082</v>
      </c>
      <c r="AN14" s="24">
        <v>773.47759450000046</v>
      </c>
      <c r="AP14" s="24">
        <v>3055.5269546299996</v>
      </c>
      <c r="AQ14" s="24">
        <v>769.96071578000078</v>
      </c>
      <c r="AR14" s="24">
        <v>2285.5662388499995</v>
      </c>
      <c r="AS14" s="24">
        <v>737.76459776999832</v>
      </c>
      <c r="AT14" s="24">
        <v>1547.8016410800005</v>
      </c>
      <c r="AU14" s="24">
        <v>733.55427725000061</v>
      </c>
      <c r="AV14" s="24">
        <v>814.24736382999993</v>
      </c>
    </row>
    <row r="15" spans="1:48" ht="12" x14ac:dyDescent="0.25">
      <c r="A15" s="11" t="s">
        <v>33</v>
      </c>
      <c r="C15" s="18" t="s">
        <v>84</v>
      </c>
      <c r="E15" s="25">
        <v>2517.8092418399997</v>
      </c>
      <c r="F15" s="25">
        <v>2573.0774314566665</v>
      </c>
      <c r="G15" s="26">
        <f t="shared" si="24"/>
        <v>-2.1479411750690458E-2</v>
      </c>
      <c r="H15" s="47"/>
      <c r="I15" s="25">
        <v>815.24420208000004</v>
      </c>
      <c r="J15" s="25">
        <v>861.7687339166672</v>
      </c>
      <c r="K15" s="26">
        <f t="shared" si="28"/>
        <v>-5.3987259000703114E-2</v>
      </c>
      <c r="L15" s="47"/>
      <c r="M15" s="25">
        <v>815.24420208000004</v>
      </c>
      <c r="N15" s="25">
        <v>861.7687339166672</v>
      </c>
      <c r="O15" s="26">
        <f t="shared" si="26"/>
        <v>-5.3987259000703114E-2</v>
      </c>
      <c r="P15" s="47"/>
      <c r="Q15" s="25">
        <v>790.35970939000003</v>
      </c>
      <c r="R15" s="26">
        <f t="shared" si="27"/>
        <v>3.1485021812670322E-2</v>
      </c>
      <c r="S15" s="47"/>
      <c r="T15" s="25">
        <v>2517.8092418399997</v>
      </c>
      <c r="U15" s="25">
        <v>815.24420208000004</v>
      </c>
      <c r="V15" s="25">
        <v>1702.56503976</v>
      </c>
      <c r="W15" s="25">
        <v>790.35970939000003</v>
      </c>
      <c r="X15" s="25">
        <v>912.20533036999984</v>
      </c>
      <c r="Y15" s="47"/>
      <c r="Z15" s="25">
        <v>3497.4860045600012</v>
      </c>
      <c r="AA15" s="25">
        <v>924.40857310333399</v>
      </c>
      <c r="AB15" s="25">
        <v>2573.0774314566665</v>
      </c>
      <c r="AC15" s="25">
        <v>861.7687339166672</v>
      </c>
      <c r="AD15" s="25">
        <v>1711.3086975399992</v>
      </c>
      <c r="AE15" s="25">
        <v>887.24930373999985</v>
      </c>
      <c r="AF15" s="25">
        <v>824.05939379999961</v>
      </c>
      <c r="AH15" s="25">
        <v>3203.8529801300006</v>
      </c>
      <c r="AI15" s="25">
        <v>806.4756327800003</v>
      </c>
      <c r="AJ15" s="25">
        <v>2397.3773473500009</v>
      </c>
      <c r="AK15" s="25">
        <v>780.03406477999954</v>
      </c>
      <c r="AL15" s="25">
        <v>1617.3432825700015</v>
      </c>
      <c r="AM15" s="25">
        <v>823.45058387000086</v>
      </c>
      <c r="AN15" s="25">
        <v>793.89269870000044</v>
      </c>
      <c r="AP15" s="25">
        <v>3137.1440550799998</v>
      </c>
      <c r="AQ15" s="25">
        <v>790.3670896200008</v>
      </c>
      <c r="AR15" s="25">
        <v>2346.7769654599997</v>
      </c>
      <c r="AS15" s="25">
        <v>758.16923996999833</v>
      </c>
      <c r="AT15" s="25">
        <v>1588.6077254900006</v>
      </c>
      <c r="AU15" s="25">
        <v>753.95750834000057</v>
      </c>
      <c r="AV15" s="25">
        <v>834.65021714999989</v>
      </c>
    </row>
    <row r="16" spans="1:48" ht="12" hidden="1" x14ac:dyDescent="0.25">
      <c r="A16" s="11" t="s">
        <v>34</v>
      </c>
      <c r="C16" s="149" t="s">
        <v>85</v>
      </c>
      <c r="E16" s="150">
        <v>2517.8092418399997</v>
      </c>
      <c r="F16" s="150">
        <v>2573.0774314566665</v>
      </c>
      <c r="G16" s="151">
        <f t="shared" si="24"/>
        <v>-2.1479411750690458E-2</v>
      </c>
      <c r="H16" s="47"/>
      <c r="I16" s="150">
        <v>815.24420208000004</v>
      </c>
      <c r="J16" s="150">
        <v>861.7687339166672</v>
      </c>
      <c r="K16" s="151">
        <f t="shared" si="28"/>
        <v>-5.3987259000703114E-2</v>
      </c>
      <c r="L16" s="47"/>
      <c r="M16" s="150">
        <v>815.24420208000004</v>
      </c>
      <c r="N16" s="150">
        <v>861.7687339166672</v>
      </c>
      <c r="O16" s="151">
        <f t="shared" si="26"/>
        <v>-5.3987259000703114E-2</v>
      </c>
      <c r="P16" s="47"/>
      <c r="Q16" s="150">
        <v>790.35970939000003</v>
      </c>
      <c r="R16" s="151">
        <f t="shared" si="27"/>
        <v>3.1485021812670322E-2</v>
      </c>
      <c r="S16" s="47"/>
      <c r="T16" s="150">
        <v>2517.8092418399997</v>
      </c>
      <c r="U16" s="150">
        <v>815.24420208000004</v>
      </c>
      <c r="V16" s="150">
        <v>1702.56503976</v>
      </c>
      <c r="W16" s="150">
        <v>790.35970939000003</v>
      </c>
      <c r="X16" s="150">
        <v>912.20533036999984</v>
      </c>
      <c r="Y16" s="47"/>
      <c r="Z16" s="150">
        <v>3497.4860045600012</v>
      </c>
      <c r="AA16" s="150">
        <v>924.40857310333399</v>
      </c>
      <c r="AB16" s="150">
        <v>2573.0774314566665</v>
      </c>
      <c r="AC16" s="150">
        <v>861.7687339166672</v>
      </c>
      <c r="AD16" s="150">
        <v>1711.3086975399992</v>
      </c>
      <c r="AE16" s="150">
        <v>887.24930373999985</v>
      </c>
      <c r="AF16" s="150">
        <v>824.05939379999961</v>
      </c>
      <c r="AH16" s="150">
        <v>3203.8529801300006</v>
      </c>
      <c r="AI16" s="150">
        <v>806.4756327800003</v>
      </c>
      <c r="AJ16" s="150">
        <v>2397.3773473500009</v>
      </c>
      <c r="AK16" s="150">
        <v>780.03406477999954</v>
      </c>
      <c r="AL16" s="150">
        <v>1617.3432825700015</v>
      </c>
      <c r="AM16" s="150">
        <v>823.45058387000086</v>
      </c>
      <c r="AN16" s="150">
        <v>793.89269870000044</v>
      </c>
      <c r="AP16" s="150">
        <v>3137.1440550799998</v>
      </c>
      <c r="AQ16" s="150">
        <v>790.3670896200008</v>
      </c>
      <c r="AR16" s="150">
        <v>2346.7769654599997</v>
      </c>
      <c r="AS16" s="150">
        <v>758.16923996999833</v>
      </c>
      <c r="AT16" s="150">
        <v>1588.6077254900006</v>
      </c>
      <c r="AU16" s="150">
        <v>753.95750834000057</v>
      </c>
      <c r="AV16" s="150">
        <v>834.65021714999989</v>
      </c>
    </row>
    <row r="17" spans="1:48" x14ac:dyDescent="0.2">
      <c r="A17" s="12" t="s">
        <v>35</v>
      </c>
      <c r="B17" s="77"/>
      <c r="C17" s="84" t="s">
        <v>246</v>
      </c>
      <c r="D17" s="77"/>
      <c r="E17" s="82">
        <v>-901.62519157999986</v>
      </c>
      <c r="F17" s="82">
        <v>-919.05624867000017</v>
      </c>
      <c r="G17" s="83">
        <f t="shared" ref="G17" si="29">IF(ISERROR($E17*F17),"NM",IF($E17*F17&gt;0,IF(E17/F17&gt;2,"NM",E17/F17-1),"NM"))</f>
        <v>-1.8966257087338678E-2</v>
      </c>
      <c r="H17" s="80"/>
      <c r="I17" s="82">
        <v>-306.52606936999996</v>
      </c>
      <c r="J17" s="82">
        <v>-307.39329872000019</v>
      </c>
      <c r="K17" s="83">
        <f t="shared" si="28"/>
        <v>-2.8212370068294579E-3</v>
      </c>
      <c r="L17" s="80"/>
      <c r="M17" s="82">
        <v>-306.52606936999996</v>
      </c>
      <c r="N17" s="82">
        <v>-307.39329872000019</v>
      </c>
      <c r="O17" s="83">
        <f t="shared" ref="O17" si="30">IF(ISERROR($M17*N17),"NM",IF($M17*N17&gt;0,IF(M17/N17&gt;2,"NM",M17/N17-1),"NM"))</f>
        <v>-2.8212370068294579E-3</v>
      </c>
      <c r="P17" s="80"/>
      <c r="Q17" s="82">
        <v>-271.52501531999997</v>
      </c>
      <c r="R17" s="83">
        <f t="shared" ref="R17" si="31">IF(ISERROR($M17*Q17),"NM",IF($M17*Q17&gt;0,IF(M17/Q17&gt;2,"NM",M17/Q17-1),"NM"))</f>
        <v>0.12890544913053503</v>
      </c>
      <c r="S17" s="80"/>
      <c r="T17" s="82">
        <v>-901.62519157999986</v>
      </c>
      <c r="U17" s="82">
        <v>-306.52606936999996</v>
      </c>
      <c r="V17" s="82">
        <v>-595.0991222099999</v>
      </c>
      <c r="W17" s="82">
        <v>-271.52501531999997</v>
      </c>
      <c r="X17" s="82">
        <v>-323.57410689</v>
      </c>
      <c r="Y17" s="80"/>
      <c r="Z17" s="82">
        <v>-1263.5456888810136</v>
      </c>
      <c r="AA17" s="82">
        <v>-344.48944021101335</v>
      </c>
      <c r="AB17" s="82">
        <v>-919.05624867000017</v>
      </c>
      <c r="AC17" s="82">
        <v>-307.39329872000019</v>
      </c>
      <c r="AD17" s="82">
        <v>-611.66294994999998</v>
      </c>
      <c r="AE17" s="82">
        <v>-316.37130836999995</v>
      </c>
      <c r="AF17" s="82">
        <v>-295.29164158000003</v>
      </c>
      <c r="AH17" s="82">
        <v>-1144.6332846500002</v>
      </c>
      <c r="AI17" s="82">
        <v>-280.14782119000034</v>
      </c>
      <c r="AJ17" s="82">
        <v>-864.48546345999989</v>
      </c>
      <c r="AK17" s="82">
        <v>-288.20099312999986</v>
      </c>
      <c r="AL17" s="82">
        <v>-576.28447032999998</v>
      </c>
      <c r="AM17" s="82">
        <v>-293.73620168999997</v>
      </c>
      <c r="AN17" s="82">
        <v>-282.54826864</v>
      </c>
      <c r="AP17" s="82">
        <v>-1092.790713115</v>
      </c>
      <c r="AQ17" s="82">
        <v>-260.89437798999995</v>
      </c>
      <c r="AR17" s="82">
        <v>-831.89633512499995</v>
      </c>
      <c r="AS17" s="82">
        <v>-275.89326675499984</v>
      </c>
      <c r="AT17" s="82">
        <v>-556.00306837000016</v>
      </c>
      <c r="AU17" s="82">
        <v>-275.65586022000008</v>
      </c>
      <c r="AV17" s="82">
        <v>-280.34720815000003</v>
      </c>
    </row>
    <row r="18" spans="1:48" x14ac:dyDescent="0.2">
      <c r="A18" s="12" t="s">
        <v>36</v>
      </c>
      <c r="B18" s="77"/>
      <c r="C18" s="84" t="s">
        <v>86</v>
      </c>
      <c r="D18" s="77"/>
      <c r="E18" s="82">
        <v>-428.80685305999998</v>
      </c>
      <c r="F18" s="82">
        <v>-436.72962494999985</v>
      </c>
      <c r="G18" s="83">
        <f t="shared" si="24"/>
        <v>-1.8141136843892625E-2</v>
      </c>
      <c r="H18" s="80"/>
      <c r="I18" s="82">
        <v>-129.54228645000001</v>
      </c>
      <c r="J18" s="82">
        <v>-148.45637489999984</v>
      </c>
      <c r="K18" s="83">
        <f t="shared" si="28"/>
        <v>-0.12740502698345124</v>
      </c>
      <c r="L18" s="80"/>
      <c r="M18" s="82">
        <v>-129.54228645000001</v>
      </c>
      <c r="N18" s="82">
        <v>-148.45637489999984</v>
      </c>
      <c r="O18" s="83">
        <f t="shared" si="26"/>
        <v>-0.12740502698345124</v>
      </c>
      <c r="P18" s="80"/>
      <c r="Q18" s="82">
        <v>-145.12953228999996</v>
      </c>
      <c r="R18" s="83">
        <f t="shared" si="27"/>
        <v>-0.10740230188886224</v>
      </c>
      <c r="S18" s="80"/>
      <c r="T18" s="82">
        <v>-428.80685305999998</v>
      </c>
      <c r="U18" s="82">
        <v>-129.54228645000001</v>
      </c>
      <c r="V18" s="82">
        <v>-299.26456660999997</v>
      </c>
      <c r="W18" s="82">
        <v>-145.12953228999996</v>
      </c>
      <c r="X18" s="82">
        <v>-154.13503431999999</v>
      </c>
      <c r="Y18" s="80"/>
      <c r="Z18" s="82">
        <v>-573.80807798043179</v>
      </c>
      <c r="AA18" s="82">
        <v>-137.07845303043194</v>
      </c>
      <c r="AB18" s="82">
        <v>-436.72962494999985</v>
      </c>
      <c r="AC18" s="82">
        <v>-148.45637489999984</v>
      </c>
      <c r="AD18" s="82">
        <v>-288.27325005</v>
      </c>
      <c r="AE18" s="82">
        <v>-144.39025365999998</v>
      </c>
      <c r="AF18" s="82">
        <v>-143.88299639000002</v>
      </c>
      <c r="AH18" s="82">
        <v>-561.31739246000018</v>
      </c>
      <c r="AI18" s="82">
        <v>-145.74555902000012</v>
      </c>
      <c r="AJ18" s="82">
        <v>-415.57183344000009</v>
      </c>
      <c r="AK18" s="82">
        <v>-136.24405984000006</v>
      </c>
      <c r="AL18" s="82">
        <v>-279.3277736</v>
      </c>
      <c r="AM18" s="82">
        <v>-136.70489573</v>
      </c>
      <c r="AN18" s="82">
        <v>-142.62287787</v>
      </c>
      <c r="AP18" s="82">
        <v>-578.35715472718402</v>
      </c>
      <c r="AQ18" s="82">
        <v>-151.17664959000001</v>
      </c>
      <c r="AR18" s="82">
        <v>-427.18050513718401</v>
      </c>
      <c r="AS18" s="82">
        <v>-138.87920216718419</v>
      </c>
      <c r="AT18" s="82">
        <v>-288.30130296999982</v>
      </c>
      <c r="AU18" s="82">
        <v>-146.1238914499998</v>
      </c>
      <c r="AV18" s="82">
        <v>-142.17741152000002</v>
      </c>
    </row>
    <row r="19" spans="1:48" ht="12" x14ac:dyDescent="0.25">
      <c r="A19" s="11" t="s">
        <v>37</v>
      </c>
      <c r="C19" s="17" t="s">
        <v>87</v>
      </c>
      <c r="E19" s="24">
        <v>-1423.2544955299998</v>
      </c>
      <c r="F19" s="24">
        <v>-1355.7858736200001</v>
      </c>
      <c r="G19" s="21">
        <f t="shared" si="24"/>
        <v>4.9763479043970271E-2</v>
      </c>
      <c r="H19" s="47"/>
      <c r="I19" s="24">
        <v>-518.35554267999999</v>
      </c>
      <c r="J19" s="24">
        <v>-455.84967362000003</v>
      </c>
      <c r="K19" s="21">
        <f t="shared" si="28"/>
        <v>0.13711947748832953</v>
      </c>
      <c r="L19" s="47"/>
      <c r="M19" s="24">
        <v>-518.35554267999999</v>
      </c>
      <c r="N19" s="24">
        <v>-455.84967362000003</v>
      </c>
      <c r="O19" s="21">
        <f t="shared" si="26"/>
        <v>0.13711947748832953</v>
      </c>
      <c r="P19" s="47"/>
      <c r="Q19" s="24">
        <v>-418.44354760999988</v>
      </c>
      <c r="R19" s="21">
        <f t="shared" si="27"/>
        <v>0.2387705477612494</v>
      </c>
      <c r="S19" s="47"/>
      <c r="T19" s="24">
        <v>-1423.2544955299998</v>
      </c>
      <c r="U19" s="24">
        <v>-518.35554267999999</v>
      </c>
      <c r="V19" s="24">
        <v>-904.89895284999989</v>
      </c>
      <c r="W19" s="24">
        <v>-418.44354760999988</v>
      </c>
      <c r="X19" s="24">
        <v>-486.45540524</v>
      </c>
      <c r="Y19" s="47"/>
      <c r="Z19" s="24">
        <v>-1851.5946060200006</v>
      </c>
      <c r="AA19" s="24">
        <v>-495.80873240000034</v>
      </c>
      <c r="AB19" s="24">
        <v>-1355.7858736200001</v>
      </c>
      <c r="AC19" s="24">
        <v>-455.84967362000003</v>
      </c>
      <c r="AD19" s="24">
        <v>-899.93619999999999</v>
      </c>
      <c r="AE19" s="24">
        <v>-460.76156202999994</v>
      </c>
      <c r="AF19" s="24">
        <v>-439.17463797000005</v>
      </c>
      <c r="AH19" s="24">
        <v>-1705.9506771100005</v>
      </c>
      <c r="AI19" s="24">
        <v>-425.89338021000049</v>
      </c>
      <c r="AJ19" s="24">
        <v>-1280.0572969</v>
      </c>
      <c r="AK19" s="24">
        <v>-424.44505296999989</v>
      </c>
      <c r="AL19" s="24">
        <v>-855.61224392999998</v>
      </c>
      <c r="AM19" s="24">
        <v>-430.44109742000001</v>
      </c>
      <c r="AN19" s="24">
        <v>-425.17114650999997</v>
      </c>
      <c r="AP19" s="24">
        <v>-1732.6816596799997</v>
      </c>
      <c r="AQ19" s="24">
        <v>-414.36964352999996</v>
      </c>
      <c r="AR19" s="24">
        <v>-1318.3120161499996</v>
      </c>
      <c r="AS19" s="24">
        <v>-423.44530468999977</v>
      </c>
      <c r="AT19" s="24">
        <v>-894.86671146000003</v>
      </c>
      <c r="AU19" s="24">
        <v>-462.17751242999987</v>
      </c>
      <c r="AV19" s="24">
        <v>-432.68919903000005</v>
      </c>
    </row>
    <row r="20" spans="1:48" ht="12" x14ac:dyDescent="0.25">
      <c r="A20" s="11" t="s">
        <v>38</v>
      </c>
      <c r="C20" s="18" t="s">
        <v>88</v>
      </c>
      <c r="E20" s="25">
        <v>-1330.4320446399997</v>
      </c>
      <c r="F20" s="25">
        <v>-1355.7858736200001</v>
      </c>
      <c r="G20" s="26">
        <f t="shared" si="24"/>
        <v>-1.8700466993585518E-2</v>
      </c>
      <c r="H20" s="47"/>
      <c r="I20" s="25">
        <v>-436.06835581999997</v>
      </c>
      <c r="J20" s="25">
        <v>-455.84967362000003</v>
      </c>
      <c r="K20" s="26">
        <f t="shared" si="28"/>
        <v>-4.3394388423956487E-2</v>
      </c>
      <c r="L20" s="47"/>
      <c r="M20" s="25">
        <v>-436.06835581999997</v>
      </c>
      <c r="N20" s="25">
        <v>-455.84967362000003</v>
      </c>
      <c r="O20" s="26">
        <f t="shared" si="26"/>
        <v>-4.3394388423956487E-2</v>
      </c>
      <c r="P20" s="47"/>
      <c r="Q20" s="25">
        <v>-416.6545476099999</v>
      </c>
      <c r="R20" s="26">
        <f t="shared" si="27"/>
        <v>4.6594494939178999E-2</v>
      </c>
      <c r="S20" s="47"/>
      <c r="T20" s="25">
        <v>-1330.4320446399997</v>
      </c>
      <c r="U20" s="25">
        <v>-436.06835581999997</v>
      </c>
      <c r="V20" s="25">
        <v>-894.36368881999988</v>
      </c>
      <c r="W20" s="25">
        <v>-416.6545476099999</v>
      </c>
      <c r="X20" s="25">
        <v>-477.70914120999998</v>
      </c>
      <c r="Y20" s="47"/>
      <c r="Z20" s="25">
        <v>-1837.3537668614454</v>
      </c>
      <c r="AA20" s="25">
        <v>-481.56789324144529</v>
      </c>
      <c r="AB20" s="25">
        <v>-1355.7858736200001</v>
      </c>
      <c r="AC20" s="25">
        <v>-455.84967362000003</v>
      </c>
      <c r="AD20" s="25">
        <v>-899.93619999999999</v>
      </c>
      <c r="AE20" s="25">
        <v>-460.76156202999994</v>
      </c>
      <c r="AF20" s="25">
        <v>-439.17463797000005</v>
      </c>
      <c r="AH20" s="25">
        <v>-1705.9506771100005</v>
      </c>
      <c r="AI20" s="25">
        <v>-425.89338021000049</v>
      </c>
      <c r="AJ20" s="25">
        <v>-1280.0572969</v>
      </c>
      <c r="AK20" s="25">
        <v>-424.44505296999989</v>
      </c>
      <c r="AL20" s="25">
        <v>-855.61224392999998</v>
      </c>
      <c r="AM20" s="25">
        <v>-430.44109742000001</v>
      </c>
      <c r="AN20" s="25">
        <v>-425.17114650999997</v>
      </c>
      <c r="AP20" s="25">
        <v>-1671.147867842184</v>
      </c>
      <c r="AQ20" s="25">
        <v>-412.07102757999996</v>
      </c>
      <c r="AR20" s="25">
        <v>-1259.0768402621839</v>
      </c>
      <c r="AS20" s="25">
        <v>-414.77246892218403</v>
      </c>
      <c r="AT20" s="25">
        <v>-844.30437133999999</v>
      </c>
      <c r="AU20" s="25">
        <v>-421.77975166999988</v>
      </c>
      <c r="AV20" s="25">
        <v>-422.52461967000005</v>
      </c>
    </row>
    <row r="21" spans="1:48" ht="12" hidden="1" x14ac:dyDescent="0.2">
      <c r="A21" s="11" t="s">
        <v>39</v>
      </c>
      <c r="C21" s="22" t="s">
        <v>89</v>
      </c>
      <c r="E21" s="29">
        <v>-1330.4320446399997</v>
      </c>
      <c r="F21" s="29">
        <v>-1355.7858736200001</v>
      </c>
      <c r="G21" s="30">
        <f t="shared" si="24"/>
        <v>-1.8700466993585518E-2</v>
      </c>
      <c r="H21" s="48"/>
      <c r="I21" s="29">
        <v>-436.06835581999997</v>
      </c>
      <c r="J21" s="29">
        <v>-455.84967362000003</v>
      </c>
      <c r="K21" s="30">
        <f t="shared" si="28"/>
        <v>-4.3394388423956487E-2</v>
      </c>
      <c r="L21" s="48"/>
      <c r="M21" s="29">
        <v>-436.06835581999997</v>
      </c>
      <c r="N21" s="29">
        <v>-455.84967362000003</v>
      </c>
      <c r="O21" s="30">
        <f t="shared" si="26"/>
        <v>-4.3394388423956487E-2</v>
      </c>
      <c r="P21" s="48"/>
      <c r="Q21" s="29">
        <v>-416.6545476099999</v>
      </c>
      <c r="R21" s="30">
        <f t="shared" si="27"/>
        <v>4.6594494939178999E-2</v>
      </c>
      <c r="S21" s="48"/>
      <c r="T21" s="29">
        <v>-1330.4320446399997</v>
      </c>
      <c r="U21" s="29">
        <v>-436.06835581999997</v>
      </c>
      <c r="V21" s="29">
        <v>-894.36368881999988</v>
      </c>
      <c r="W21" s="29">
        <v>-416.6545476099999</v>
      </c>
      <c r="X21" s="29">
        <v>-477.70914120999998</v>
      </c>
      <c r="Y21" s="47"/>
      <c r="Z21" s="29">
        <v>-1837.3537668614454</v>
      </c>
      <c r="AA21" s="29">
        <v>-481.56789324144529</v>
      </c>
      <c r="AB21" s="29">
        <v>-1355.7858736200001</v>
      </c>
      <c r="AC21" s="29">
        <v>-455.84967362000003</v>
      </c>
      <c r="AD21" s="29">
        <v>-899.93619999999999</v>
      </c>
      <c r="AE21" s="29">
        <v>-460.76156202999994</v>
      </c>
      <c r="AF21" s="29">
        <v>-439.17463797000005</v>
      </c>
      <c r="AH21" s="29">
        <v>-1705.9506771100005</v>
      </c>
      <c r="AI21" s="29">
        <v>-425.89338021000049</v>
      </c>
      <c r="AJ21" s="29">
        <v>-1280.0572969</v>
      </c>
      <c r="AK21" s="29">
        <v>-424.44505296999989</v>
      </c>
      <c r="AL21" s="29">
        <v>-855.61224392999998</v>
      </c>
      <c r="AM21" s="29">
        <v>-430.44109742000001</v>
      </c>
      <c r="AN21" s="29">
        <v>-425.17114650999997</v>
      </c>
      <c r="AP21" s="29">
        <v>-1671.147867842184</v>
      </c>
      <c r="AQ21" s="29">
        <v>-412.07102757999996</v>
      </c>
      <c r="AR21" s="29">
        <v>-1259.0768402621839</v>
      </c>
      <c r="AS21" s="29">
        <v>-414.77246892218403</v>
      </c>
      <c r="AT21" s="29">
        <v>-844.30437133999999</v>
      </c>
      <c r="AU21" s="29">
        <v>-421.77975166999988</v>
      </c>
      <c r="AV21" s="29">
        <v>-422.52461967000005</v>
      </c>
    </row>
    <row r="22" spans="1:48" ht="12" x14ac:dyDescent="0.2">
      <c r="A22" s="333" t="s">
        <v>304</v>
      </c>
      <c r="B22" s="35"/>
      <c r="C22" s="340" t="s">
        <v>305</v>
      </c>
      <c r="D22" s="227"/>
      <c r="E22" s="341">
        <v>0.57894030207853509</v>
      </c>
      <c r="F22" s="341">
        <v>0.54118671134627983</v>
      </c>
      <c r="G22" s="345">
        <f t="shared" ref="G22:G23" si="32">IF(ISERROR($E22*F22),"NM",IF($E22*F22&gt;0,IF(E22/F22&gt;2,"NM",($E22-F22)*100),"NM"))</f>
        <v>3.775359073225526</v>
      </c>
      <c r="H22" s="343"/>
      <c r="I22" s="341">
        <v>0.65167538144300263</v>
      </c>
      <c r="J22" s="341">
        <v>0.543960080092872</v>
      </c>
      <c r="K22" s="345">
        <f t="shared" ref="K22:K23" si="33">IF(ISERROR($I22*J22),"NM",IF($I22*J22&gt;0,IF($I22/J22&gt;2,"NM",($I22-J22)*100),"NM"))</f>
        <v>10.771530135013062</v>
      </c>
      <c r="L22" s="343"/>
      <c r="M22" s="344">
        <v>0.65167538144300263</v>
      </c>
      <c r="N22" s="344">
        <v>0.543960080092872</v>
      </c>
      <c r="O22" s="342">
        <f>IF(ISERROR($M22*N22),"NM",IF($M22*N22&gt;0,IF(M22/N22&gt;2,"NM",M22/N22-1),"NM"))</f>
        <v>0.19802059984206943</v>
      </c>
      <c r="P22" s="343"/>
      <c r="Q22" s="341">
        <v>0.54305037115297017</v>
      </c>
      <c r="R22" s="345">
        <f t="shared" ref="R22:R23" si="34">IF(ISERROR($I22*Q22),"NM",IF($I22*Q22&gt;0,IF($I22/Q22&gt;2,"NM",($I22-Q22)*100),"NM"))</f>
        <v>10.862501029003246</v>
      </c>
      <c r="S22" s="343"/>
      <c r="T22" s="341">
        <v>0.57894030207853509</v>
      </c>
      <c r="U22" s="341">
        <v>0.65167538144300263</v>
      </c>
      <c r="V22" s="341">
        <v>0.54414994750925083</v>
      </c>
      <c r="W22" s="341">
        <v>0.54305037115297017</v>
      </c>
      <c r="X22" s="341">
        <v>0.54509935967368561</v>
      </c>
      <c r="Y22" s="47"/>
      <c r="Z22" s="341">
        <v>0.54365075771165894</v>
      </c>
      <c r="AA22" s="341">
        <v>0.5505046883731457</v>
      </c>
      <c r="AB22" s="341">
        <v>0.54118671134627983</v>
      </c>
      <c r="AC22" s="341">
        <v>0.543960080092872</v>
      </c>
      <c r="AD22" s="341">
        <v>0.53979266410065252</v>
      </c>
      <c r="AE22" s="341">
        <v>0.5335814047546511</v>
      </c>
      <c r="AF22" s="341">
        <v>0.54646659314021007</v>
      </c>
      <c r="AG22" s="339"/>
      <c r="AH22" s="341">
        <v>0.5463922213538418</v>
      </c>
      <c r="AI22" s="341">
        <v>0.54179951098069101</v>
      </c>
      <c r="AJ22" s="341">
        <v>0.54793759331394765</v>
      </c>
      <c r="AK22" s="341">
        <v>0.55875733997529842</v>
      </c>
      <c r="AL22" s="341">
        <v>0.5427242352799998</v>
      </c>
      <c r="AM22" s="341">
        <v>0.53601705256045362</v>
      </c>
      <c r="AN22" s="341">
        <v>0.54968773437431451</v>
      </c>
      <c r="AO22" s="339"/>
      <c r="AP22" s="341">
        <v>0.56706476015683316</v>
      </c>
      <c r="AQ22" s="341">
        <v>0.53816985079586444</v>
      </c>
      <c r="AR22" s="341">
        <v>0.57679886661841773</v>
      </c>
      <c r="AS22" s="341">
        <v>0.57395720256830607</v>
      </c>
      <c r="AT22" s="341">
        <v>0.57815335486761343</v>
      </c>
      <c r="AU22" s="341">
        <v>0.63005223575635483</v>
      </c>
      <c r="AV22" s="341">
        <v>0.53139772782898165</v>
      </c>
    </row>
    <row r="23" spans="1:48" ht="12" x14ac:dyDescent="0.2">
      <c r="A23" s="333" t="s">
        <v>302</v>
      </c>
      <c r="B23" s="35"/>
      <c r="C23" s="334" t="s">
        <v>303</v>
      </c>
      <c r="D23" s="227"/>
      <c r="E23" s="335">
        <v>0.52840859527059647</v>
      </c>
      <c r="F23" s="335">
        <v>0.52691219356444496</v>
      </c>
      <c r="G23" s="346">
        <f t="shared" si="32"/>
        <v>0.14964017061515067</v>
      </c>
      <c r="H23" s="337"/>
      <c r="I23" s="335">
        <v>0.53489292497563634</v>
      </c>
      <c r="J23" s="335">
        <v>0.52896984501654076</v>
      </c>
      <c r="K23" s="346">
        <f t="shared" si="33"/>
        <v>0.59230799590955785</v>
      </c>
      <c r="L23" s="337"/>
      <c r="M23" s="338">
        <v>0.53489292497563634</v>
      </c>
      <c r="N23" s="338">
        <v>0.52896984501654076</v>
      </c>
      <c r="O23" s="336">
        <f>IF(ISERROR($M23*N23),"NM",IF($M23*N23&gt;0,IF(M23/N23&gt;2,"NM",M23/N23-1),"NM"))</f>
        <v>1.1197386797938025E-2</v>
      </c>
      <c r="P23" s="337"/>
      <c r="Q23" s="335">
        <v>0.52717078396060202</v>
      </c>
      <c r="R23" s="346">
        <f t="shared" si="34"/>
        <v>0.77221410150343228</v>
      </c>
      <c r="S23" s="337"/>
      <c r="T23" s="335">
        <v>0.52840859527059647</v>
      </c>
      <c r="U23" s="335">
        <v>0.53489292497563634</v>
      </c>
      <c r="V23" s="335">
        <v>0.52530368469569466</v>
      </c>
      <c r="W23" s="335">
        <v>0.52717078396060202</v>
      </c>
      <c r="X23" s="335">
        <v>0.52368597869981337</v>
      </c>
      <c r="Y23" s="47"/>
      <c r="Z23" s="335">
        <v>0.52533555944638932</v>
      </c>
      <c r="AA23" s="335">
        <v>0.52094702196970399</v>
      </c>
      <c r="AB23" s="335">
        <v>0.52691219356444496</v>
      </c>
      <c r="AC23" s="335">
        <v>0.52896984501654076</v>
      </c>
      <c r="AD23" s="335">
        <v>0.52587601599504252</v>
      </c>
      <c r="AE23" s="335">
        <v>0.51931465044578029</v>
      </c>
      <c r="AF23" s="335">
        <v>0.5329405153005129</v>
      </c>
      <c r="AG23" s="339"/>
      <c r="AH23" s="335">
        <v>0.53246846459252295</v>
      </c>
      <c r="AI23" s="335">
        <v>0.52809206242463202</v>
      </c>
      <c r="AJ23" s="335">
        <v>0.53394068243572179</v>
      </c>
      <c r="AK23" s="335">
        <v>0.54413656035613034</v>
      </c>
      <c r="AL23" s="335">
        <v>0.5290232773406085</v>
      </c>
      <c r="AM23" s="335">
        <v>0.52272851079543869</v>
      </c>
      <c r="AN23" s="335">
        <v>0.53555240803476067</v>
      </c>
      <c r="AO23" s="339"/>
      <c r="AP23" s="335">
        <v>0.53269720436843893</v>
      </c>
      <c r="AQ23" s="335">
        <v>0.52136663202679512</v>
      </c>
      <c r="AR23" s="335">
        <v>0.5365132088789647</v>
      </c>
      <c r="AS23" s="335">
        <v>0.54707108526138182</v>
      </c>
      <c r="AT23" s="335">
        <v>0.53147442115049337</v>
      </c>
      <c r="AU23" s="335">
        <v>0.55942111724391286</v>
      </c>
      <c r="AV23" s="335">
        <v>0.50622956897172378</v>
      </c>
    </row>
    <row r="24" spans="1:48" ht="12" x14ac:dyDescent="0.25">
      <c r="A24" s="11" t="s">
        <v>40</v>
      </c>
      <c r="C24" s="17" t="s">
        <v>90</v>
      </c>
      <c r="E24" s="24">
        <v>1035.1241843099999</v>
      </c>
      <c r="F24" s="24">
        <v>1149.4232255599995</v>
      </c>
      <c r="G24" s="21">
        <f t="shared" ref="G24" si="35">IF(ISERROR($E24*F24),"NM",IF($E24*F24&gt;0,IF(E24/F24&gt;2,"NM",E24/F24-1),"NM"))</f>
        <v>-9.9440344259890012E-2</v>
      </c>
      <c r="H24" s="47"/>
      <c r="I24" s="24">
        <v>277.06432040000004</v>
      </c>
      <c r="J24" s="24">
        <v>382.17078101000044</v>
      </c>
      <c r="K24" s="21">
        <f t="shared" ref="K24" si="36">IF(ISERROR($E24*J24),"NM",IF($E24*J24&gt;0,IF(I24/J24&gt;2,"NM",I24/J24-1),"NM"))</f>
        <v>-0.27502484709120145</v>
      </c>
      <c r="L24" s="47"/>
      <c r="M24" s="24">
        <v>277.06432040000004</v>
      </c>
      <c r="N24" s="24">
        <v>382.17078101000044</v>
      </c>
      <c r="O24" s="21">
        <f t="shared" ref="O24" si="37">IF(ISERROR($M24*N24),"NM",IF($M24*N24&gt;0,IF(M24/N24&gt;2,"NM",M24/N24-1),"NM"))</f>
        <v>-0.27502484709120145</v>
      </c>
      <c r="P24" s="47"/>
      <c r="Q24" s="24">
        <v>352.09924149000017</v>
      </c>
      <c r="R24" s="21">
        <f t="shared" ref="R24" si="38">IF(ISERROR($M24*Q24),"NM",IF($M24*Q24&gt;0,IF(M24/Q24&gt;2,"NM",M24/Q24-1),"NM"))</f>
        <v>-0.2131073068276722</v>
      </c>
      <c r="S24" s="47"/>
      <c r="T24" s="24">
        <v>1035.1241843099999</v>
      </c>
      <c r="U24" s="24">
        <v>277.06432040000004</v>
      </c>
      <c r="V24" s="24">
        <v>758.0598639100001</v>
      </c>
      <c r="W24" s="24">
        <v>352.09924149000017</v>
      </c>
      <c r="X24" s="24">
        <v>405.96062241999982</v>
      </c>
      <c r="Y24" s="47"/>
      <c r="Z24" s="24">
        <v>1554.2584710800004</v>
      </c>
      <c r="AA24" s="24">
        <v>404.83524552000034</v>
      </c>
      <c r="AB24" s="24">
        <v>1149.4232255599995</v>
      </c>
      <c r="AC24" s="24">
        <v>382.17078101000044</v>
      </c>
      <c r="AD24" s="24">
        <v>767.25244454999927</v>
      </c>
      <c r="AE24" s="24">
        <v>402.76471141999991</v>
      </c>
      <c r="AF24" s="24">
        <v>364.48773312999958</v>
      </c>
      <c r="AH24" s="24">
        <v>1416.2582607899999</v>
      </c>
      <c r="AI24" s="24">
        <v>360.17853675999982</v>
      </c>
      <c r="AJ24" s="24">
        <v>1056.0797240300008</v>
      </c>
      <c r="AK24" s="24">
        <v>335.17817271999968</v>
      </c>
      <c r="AL24" s="24">
        <v>720.90155131000142</v>
      </c>
      <c r="AM24" s="24">
        <v>372.59510332000082</v>
      </c>
      <c r="AN24" s="24">
        <v>348.30644799000049</v>
      </c>
      <c r="AP24" s="24">
        <v>1322.8452949499999</v>
      </c>
      <c r="AQ24" s="24">
        <v>355.59107225000082</v>
      </c>
      <c r="AR24" s="24">
        <v>967.2542226999999</v>
      </c>
      <c r="AS24" s="24">
        <v>314.31929307999854</v>
      </c>
      <c r="AT24" s="24">
        <v>652.9349296200005</v>
      </c>
      <c r="AU24" s="24">
        <v>271.37676482000074</v>
      </c>
      <c r="AV24" s="24">
        <v>381.55816479999987</v>
      </c>
    </row>
    <row r="25" spans="1:48" ht="12" x14ac:dyDescent="0.2">
      <c r="A25" s="11" t="s">
        <v>41</v>
      </c>
      <c r="B25" s="20"/>
      <c r="C25" s="19" t="s">
        <v>91</v>
      </c>
      <c r="D25" s="20"/>
      <c r="E25" s="25">
        <v>1187.3771972</v>
      </c>
      <c r="F25" s="25">
        <v>1217.291557836666</v>
      </c>
      <c r="G25" s="26">
        <f t="shared" si="24"/>
        <v>-2.4574524027611733E-2</v>
      </c>
      <c r="H25" s="47"/>
      <c r="I25" s="25">
        <v>379.17584626000007</v>
      </c>
      <c r="J25" s="25">
        <v>405.91906029666711</v>
      </c>
      <c r="K25" s="26">
        <f t="shared" si="28"/>
        <v>-6.5883119696625414E-2</v>
      </c>
      <c r="L25" s="47"/>
      <c r="M25" s="25">
        <v>379.17584626000007</v>
      </c>
      <c r="N25" s="25">
        <v>405.91906029666711</v>
      </c>
      <c r="O25" s="26">
        <f t="shared" si="26"/>
        <v>-6.5883119696625414E-2</v>
      </c>
      <c r="P25" s="47"/>
      <c r="Q25" s="25">
        <v>373.70516178000014</v>
      </c>
      <c r="R25" s="26">
        <f t="shared" si="27"/>
        <v>1.4639039112926522E-2</v>
      </c>
      <c r="S25" s="47"/>
      <c r="T25" s="25">
        <v>1187.3771972</v>
      </c>
      <c r="U25" s="25">
        <v>379.17584626000007</v>
      </c>
      <c r="V25" s="25">
        <v>808.20135094000011</v>
      </c>
      <c r="W25" s="25">
        <v>373.70516178000014</v>
      </c>
      <c r="X25" s="25">
        <v>434.4961891599998</v>
      </c>
      <c r="Y25" s="47"/>
      <c r="Z25" s="25">
        <v>1660.1322376985556</v>
      </c>
      <c r="AA25" s="25">
        <v>442.8406798618887</v>
      </c>
      <c r="AB25" s="25">
        <v>1217.291557836666</v>
      </c>
      <c r="AC25" s="25">
        <v>405.91906029666711</v>
      </c>
      <c r="AD25" s="25">
        <v>811.37249753999924</v>
      </c>
      <c r="AE25" s="25">
        <v>426.48774170999991</v>
      </c>
      <c r="AF25" s="25">
        <v>384.88475582999956</v>
      </c>
      <c r="AH25" s="25">
        <v>1497.9023030199999</v>
      </c>
      <c r="AI25" s="25">
        <v>380.58225256999981</v>
      </c>
      <c r="AJ25" s="25">
        <v>1117.3200504500007</v>
      </c>
      <c r="AK25" s="25">
        <v>355.5890118099997</v>
      </c>
      <c r="AL25" s="25">
        <v>761.73103864000143</v>
      </c>
      <c r="AM25" s="25">
        <v>393.00948645000079</v>
      </c>
      <c r="AN25" s="25">
        <v>368.72155219000047</v>
      </c>
      <c r="AP25" s="25">
        <v>1465.9961872378155</v>
      </c>
      <c r="AQ25" s="25">
        <v>378.29606204000083</v>
      </c>
      <c r="AR25" s="25">
        <v>1087.7001251978156</v>
      </c>
      <c r="AS25" s="25">
        <v>343.3967710478143</v>
      </c>
      <c r="AT25" s="25">
        <v>744.30335415000059</v>
      </c>
      <c r="AU25" s="25">
        <v>332.17775667000075</v>
      </c>
      <c r="AV25" s="25">
        <v>412.1255974799999</v>
      </c>
    </row>
    <row r="26" spans="1:48" hidden="1" x14ac:dyDescent="0.2">
      <c r="A26" s="11" t="s">
        <v>42</v>
      </c>
      <c r="B26" s="35"/>
      <c r="C26" s="22" t="s">
        <v>92</v>
      </c>
      <c r="D26" s="35"/>
      <c r="E26" s="29">
        <v>1187.3771972</v>
      </c>
      <c r="F26" s="29">
        <v>1217.291557836666</v>
      </c>
      <c r="G26" s="30">
        <f t="shared" si="24"/>
        <v>-2.4574524027611733E-2</v>
      </c>
      <c r="H26" s="48"/>
      <c r="I26" s="29">
        <v>379.17584626000007</v>
      </c>
      <c r="J26" s="29">
        <v>405.91906029666711</v>
      </c>
      <c r="K26" s="30">
        <f t="shared" si="28"/>
        <v>-6.5883119696625414E-2</v>
      </c>
      <c r="L26" s="48"/>
      <c r="M26" s="29">
        <v>379.17584626000007</v>
      </c>
      <c r="N26" s="29">
        <v>405.91906029666711</v>
      </c>
      <c r="O26" s="30">
        <f t="shared" si="26"/>
        <v>-6.5883119696625414E-2</v>
      </c>
      <c r="P26" s="48"/>
      <c r="Q26" s="29">
        <v>373.70516178000014</v>
      </c>
      <c r="R26" s="30">
        <f t="shared" si="27"/>
        <v>1.4639039112926522E-2</v>
      </c>
      <c r="S26" s="48"/>
      <c r="T26" s="29">
        <v>1187.3771972</v>
      </c>
      <c r="U26" s="29">
        <v>379.17584626000007</v>
      </c>
      <c r="V26" s="29">
        <v>808.20135094000011</v>
      </c>
      <c r="W26" s="29">
        <v>373.70516178000014</v>
      </c>
      <c r="X26" s="29">
        <v>434.4961891599998</v>
      </c>
      <c r="Y26" s="48"/>
      <c r="Z26" s="29">
        <v>1660.1322376985556</v>
      </c>
      <c r="AA26" s="29">
        <v>442.8406798618887</v>
      </c>
      <c r="AB26" s="29">
        <v>1217.291557836666</v>
      </c>
      <c r="AC26" s="29">
        <v>405.91906029666711</v>
      </c>
      <c r="AD26" s="29">
        <v>811.37249753999924</v>
      </c>
      <c r="AE26" s="29">
        <v>426.48774170999991</v>
      </c>
      <c r="AF26" s="29">
        <v>384.88475582999956</v>
      </c>
      <c r="AH26" s="29">
        <v>1497.9023030199999</v>
      </c>
      <c r="AI26" s="29">
        <v>380.58225256999981</v>
      </c>
      <c r="AJ26" s="29">
        <v>1117.3200504500007</v>
      </c>
      <c r="AK26" s="29">
        <v>355.5890118099997</v>
      </c>
      <c r="AL26" s="29">
        <v>761.73103864000143</v>
      </c>
      <c r="AM26" s="29">
        <v>393.00948645000079</v>
      </c>
      <c r="AN26" s="29">
        <v>368.72155219000047</v>
      </c>
      <c r="AP26" s="29">
        <v>1465.9961872378155</v>
      </c>
      <c r="AQ26" s="29">
        <v>378.29606204000083</v>
      </c>
      <c r="AR26" s="29">
        <v>1087.7001251978156</v>
      </c>
      <c r="AS26" s="29">
        <v>343.3967710478143</v>
      </c>
      <c r="AT26" s="29">
        <v>744.30335415000059</v>
      </c>
      <c r="AU26" s="29">
        <v>332.17775667000075</v>
      </c>
      <c r="AV26" s="29">
        <v>412.1255974799999</v>
      </c>
    </row>
    <row r="27" spans="1:48" x14ac:dyDescent="0.2">
      <c r="A27" s="11" t="s">
        <v>43</v>
      </c>
      <c r="B27" s="77"/>
      <c r="C27" s="84" t="s">
        <v>93</v>
      </c>
      <c r="D27" s="77"/>
      <c r="E27" s="82">
        <v>395.20540441999998</v>
      </c>
      <c r="F27" s="82">
        <v>-6.8100359899999994</v>
      </c>
      <c r="G27" s="83" t="str">
        <f t="shared" si="24"/>
        <v>NM</v>
      </c>
      <c r="H27" s="80"/>
      <c r="I27" s="82">
        <v>-1.3350708400000091</v>
      </c>
      <c r="J27" s="82">
        <v>-1.790050630000001</v>
      </c>
      <c r="K27" s="83" t="str">
        <f t="shared" si="28"/>
        <v>NM</v>
      </c>
      <c r="L27" s="80"/>
      <c r="M27" s="82">
        <v>-1.3350708400000091</v>
      </c>
      <c r="N27" s="82">
        <v>-1.790050630000001</v>
      </c>
      <c r="O27" s="83">
        <f t="shared" si="26"/>
        <v>-0.25417146441270866</v>
      </c>
      <c r="P27" s="80"/>
      <c r="Q27" s="82">
        <v>400.96368844</v>
      </c>
      <c r="R27" s="83" t="str">
        <f t="shared" si="27"/>
        <v>NM</v>
      </c>
      <c r="S27" s="80"/>
      <c r="T27" s="82">
        <v>395.20540441999998</v>
      </c>
      <c r="U27" s="82">
        <v>-1.3350708400000091</v>
      </c>
      <c r="V27" s="82">
        <v>396.54047525999999</v>
      </c>
      <c r="W27" s="82">
        <v>400.96368844</v>
      </c>
      <c r="X27" s="82">
        <v>-4.4232131800000003</v>
      </c>
      <c r="Y27" s="80"/>
      <c r="Z27" s="82">
        <v>-9.7249906200000034</v>
      </c>
      <c r="AA27" s="82">
        <v>-2.9149546300000022</v>
      </c>
      <c r="AB27" s="82">
        <v>-6.8100359899999994</v>
      </c>
      <c r="AC27" s="82">
        <v>-1.790050630000001</v>
      </c>
      <c r="AD27" s="82">
        <v>-5.0199853599999988</v>
      </c>
      <c r="AE27" s="82">
        <v>-4.8932209499999981</v>
      </c>
      <c r="AF27" s="82">
        <v>-0.12676440999999991</v>
      </c>
      <c r="AH27" s="82">
        <v>-7.5540516700000016</v>
      </c>
      <c r="AI27" s="82">
        <v>-2.082697270000001</v>
      </c>
      <c r="AJ27" s="82">
        <v>-5.471354400000001</v>
      </c>
      <c r="AK27" s="82">
        <v>-2.796774950000001</v>
      </c>
      <c r="AL27" s="82">
        <v>-2.6745794499999995</v>
      </c>
      <c r="AM27" s="82">
        <v>-2.1497390799999998</v>
      </c>
      <c r="AN27" s="82">
        <v>-0.52484036999999983</v>
      </c>
      <c r="AP27" s="82">
        <v>-8.1146328899999958</v>
      </c>
      <c r="AQ27" s="82">
        <v>-4.0886368899999965</v>
      </c>
      <c r="AR27" s="82">
        <v>-4.0259959999999992</v>
      </c>
      <c r="AS27" s="82">
        <v>-0.40384849999999828</v>
      </c>
      <c r="AT27" s="82">
        <v>-3.6221475000000005</v>
      </c>
      <c r="AU27" s="82">
        <v>-0.11615051000000021</v>
      </c>
      <c r="AV27" s="82">
        <v>-3.5059969900000003</v>
      </c>
    </row>
    <row r="28" spans="1:48" ht="12" x14ac:dyDescent="0.25">
      <c r="A28" s="11" t="s">
        <v>312</v>
      </c>
      <c r="B28" s="34"/>
      <c r="C28" s="127" t="s">
        <v>322</v>
      </c>
      <c r="D28" s="77"/>
      <c r="E28" s="129">
        <v>-6.8538691999999628</v>
      </c>
      <c r="F28" s="129">
        <v>-6.8100359899999994</v>
      </c>
      <c r="G28" s="130">
        <f t="shared" ref="G28" si="39">IF(ISERROR($E28*F28),"NM",IF($E28*F28&gt;0,IF(E28/F28&gt;2,"NM",E28/F28-1),"NM"))</f>
        <v>6.4365606972311973E-3</v>
      </c>
      <c r="H28" s="80"/>
      <c r="I28" s="129">
        <v>-1.0113448400000091</v>
      </c>
      <c r="J28" s="129">
        <v>-1.790050630000001</v>
      </c>
      <c r="K28" s="130">
        <f t="shared" ref="K28" si="40">IF(ISERROR($E28*J28),"NM",IF($E28*J28&gt;0,IF(I28/J28&gt;2,"NM",I28/J28-1),"NM"))</f>
        <v>-0.43501886312567117</v>
      </c>
      <c r="L28" s="80"/>
      <c r="M28" s="129">
        <v>-1.0113448400000091</v>
      </c>
      <c r="N28" s="129">
        <v>-1.790050630000001</v>
      </c>
      <c r="O28" s="130">
        <f t="shared" ref="O28" si="41">IF(ISERROR($M28*N28),"NM",IF($M28*N28&gt;0,IF(M28/N28&gt;2,"NM",M28/N28-1),"NM"))</f>
        <v>-0.43501886312567117</v>
      </c>
      <c r="P28" s="80"/>
      <c r="Q28" s="129">
        <v>-1.4193111799999656</v>
      </c>
      <c r="R28" s="130">
        <f t="shared" ref="R28" si="42">IF(ISERROR($M28*Q28),"NM",IF($M28*Q28&gt;0,IF(M28/Q28&gt;2,"NM",M28/Q28-1),"NM"))</f>
        <v>-0.2874396719681771</v>
      </c>
      <c r="S28" s="80"/>
      <c r="T28" s="129">
        <v>-6.8538691999999628</v>
      </c>
      <c r="U28" s="129">
        <v>-1.0113448400000091</v>
      </c>
      <c r="V28" s="129">
        <v>-5.8425243599999703</v>
      </c>
      <c r="W28" s="129">
        <v>-1.4193111799999656</v>
      </c>
      <c r="X28" s="129">
        <v>-4.4232131800000003</v>
      </c>
      <c r="Y28" s="80"/>
      <c r="Z28" s="129">
        <v>-9.7249906200000034</v>
      </c>
      <c r="AA28" s="129">
        <v>-2.9149546300000022</v>
      </c>
      <c r="AB28" s="129">
        <v>-6.8100359899999994</v>
      </c>
      <c r="AC28" s="129">
        <v>-1.790050630000001</v>
      </c>
      <c r="AD28" s="129">
        <v>-5.0199853599999988</v>
      </c>
      <c r="AE28" s="129">
        <v>-4.8932209499999981</v>
      </c>
      <c r="AF28" s="129">
        <v>-0.12676440999999991</v>
      </c>
      <c r="AH28" s="129">
        <v>-7.5540516700000016</v>
      </c>
      <c r="AI28" s="129">
        <v>-2.082697270000001</v>
      </c>
      <c r="AJ28" s="129">
        <v>-5.471354400000001</v>
      </c>
      <c r="AK28" s="129">
        <v>-2.796774950000001</v>
      </c>
      <c r="AL28" s="129">
        <v>-2.6745794499999995</v>
      </c>
      <c r="AM28" s="129">
        <v>-2.1497390799999998</v>
      </c>
      <c r="AN28" s="129">
        <v>-0.52484036999999983</v>
      </c>
      <c r="AP28" s="129">
        <v>-8.1146328899999958</v>
      </c>
      <c r="AQ28" s="129">
        <v>-4.0886368899999965</v>
      </c>
      <c r="AR28" s="129">
        <v>-4.0259959999999992</v>
      </c>
      <c r="AS28" s="129">
        <v>-0.40384849999999828</v>
      </c>
      <c r="AT28" s="129">
        <v>-3.6221475000000005</v>
      </c>
      <c r="AU28" s="129">
        <v>-0.11615051000000021</v>
      </c>
      <c r="AV28" s="129">
        <v>-3.5059969900000003</v>
      </c>
    </row>
    <row r="29" spans="1:48" ht="12" x14ac:dyDescent="0.25">
      <c r="A29" s="11" t="s">
        <v>44</v>
      </c>
      <c r="B29" s="34"/>
      <c r="C29" s="84" t="s">
        <v>319</v>
      </c>
      <c r="D29" s="77"/>
      <c r="E29" s="82">
        <v>99.367411759999982</v>
      </c>
      <c r="F29" s="82">
        <v>94.037801760000008</v>
      </c>
      <c r="G29" s="83">
        <f t="shared" si="24"/>
        <v>5.6675187001946403E-2</v>
      </c>
      <c r="H29" s="80"/>
      <c r="I29" s="82">
        <v>33.679977129999997</v>
      </c>
      <c r="J29" s="82">
        <v>32.70926673000001</v>
      </c>
      <c r="K29" s="83">
        <f t="shared" si="28"/>
        <v>2.9676923301667379E-2</v>
      </c>
      <c r="L29" s="80"/>
      <c r="M29" s="82">
        <v>33.679977129999997</v>
      </c>
      <c r="N29" s="82">
        <v>32.70926673000001</v>
      </c>
      <c r="O29" s="83">
        <f t="shared" si="26"/>
        <v>2.9676923301667379E-2</v>
      </c>
      <c r="P29" s="80"/>
      <c r="Q29" s="82">
        <v>38.162523880000002</v>
      </c>
      <c r="R29" s="83">
        <f t="shared" si="27"/>
        <v>-0.11745938932380706</v>
      </c>
      <c r="S29" s="80"/>
      <c r="T29" s="82">
        <v>99.367411759999982</v>
      </c>
      <c r="U29" s="82">
        <v>33.679977129999997</v>
      </c>
      <c r="V29" s="82">
        <v>65.687434629999998</v>
      </c>
      <c r="W29" s="82">
        <v>38.162523880000002</v>
      </c>
      <c r="X29" s="82">
        <v>27.524910749999997</v>
      </c>
      <c r="Y29" s="80"/>
      <c r="Z29" s="82">
        <v>123.34542582</v>
      </c>
      <c r="AA29" s="82">
        <v>29.307624059999988</v>
      </c>
      <c r="AB29" s="82">
        <v>94.037801760000008</v>
      </c>
      <c r="AC29" s="82">
        <v>32.70926673000001</v>
      </c>
      <c r="AD29" s="82">
        <v>61.328535029999998</v>
      </c>
      <c r="AE29" s="82">
        <v>32.737092789999998</v>
      </c>
      <c r="AF29" s="82">
        <v>28.591442239999999</v>
      </c>
      <c r="AH29" s="82">
        <v>101.99522737000001</v>
      </c>
      <c r="AI29" s="82">
        <v>28.856421770000004</v>
      </c>
      <c r="AJ29" s="82">
        <v>73.138805600000012</v>
      </c>
      <c r="AK29" s="82">
        <v>23.961162470000001</v>
      </c>
      <c r="AL29" s="82">
        <v>49.177643129999993</v>
      </c>
      <c r="AM29" s="82">
        <v>27.219239959999999</v>
      </c>
      <c r="AN29" s="82">
        <v>21.958403170000004</v>
      </c>
      <c r="AP29" s="82">
        <v>88.151289149999997</v>
      </c>
      <c r="AQ29" s="82">
        <v>23.883953230000003</v>
      </c>
      <c r="AR29" s="82">
        <f>AT29+AS29</f>
        <v>64.267335919999994</v>
      </c>
      <c r="AS29" s="82">
        <v>23.501677869999995</v>
      </c>
      <c r="AT29" s="82">
        <v>40.765658049999999</v>
      </c>
      <c r="AU29" s="82">
        <v>21.012364149999993</v>
      </c>
      <c r="AV29" s="82">
        <v>19.753293900000003</v>
      </c>
    </row>
    <row r="30" spans="1:48" ht="12" x14ac:dyDescent="0.25">
      <c r="A30" s="12" t="s">
        <v>271</v>
      </c>
      <c r="B30" s="34"/>
      <c r="C30" s="84" t="s">
        <v>320</v>
      </c>
      <c r="D30" s="77"/>
      <c r="E30" s="82">
        <v>37.543738450000006</v>
      </c>
      <c r="F30" s="82">
        <v>0</v>
      </c>
      <c r="G30" s="83" t="str">
        <f t="shared" si="24"/>
        <v>NM</v>
      </c>
      <c r="H30" s="80"/>
      <c r="I30" s="82">
        <v>17.726690400000003</v>
      </c>
      <c r="J30" s="82">
        <v>0</v>
      </c>
      <c r="K30" s="83" t="str">
        <f t="shared" si="28"/>
        <v>NM</v>
      </c>
      <c r="L30" s="80"/>
      <c r="M30" s="82">
        <v>17.726690400000003</v>
      </c>
      <c r="N30" s="82">
        <v>0</v>
      </c>
      <c r="O30" s="83" t="str">
        <f t="shared" si="26"/>
        <v>NM</v>
      </c>
      <c r="P30" s="80"/>
      <c r="Q30" s="82">
        <v>19.81704805</v>
      </c>
      <c r="R30" s="83">
        <f t="shared" si="27"/>
        <v>-0.10548279666708471</v>
      </c>
      <c r="S30" s="80"/>
      <c r="T30" s="82">
        <v>37.543738450000006</v>
      </c>
      <c r="U30" s="82">
        <v>17.726690400000003</v>
      </c>
      <c r="V30" s="82">
        <v>19.81704805</v>
      </c>
      <c r="W30" s="82">
        <v>19.81704805</v>
      </c>
      <c r="X30" s="82">
        <v>0</v>
      </c>
      <c r="Y30" s="80"/>
      <c r="Z30" s="82">
        <v>0</v>
      </c>
      <c r="AA30" s="82">
        <v>0</v>
      </c>
      <c r="AB30" s="82">
        <v>0</v>
      </c>
      <c r="AC30" s="82">
        <v>0</v>
      </c>
      <c r="AD30" s="82">
        <v>0</v>
      </c>
      <c r="AE30" s="82">
        <v>0</v>
      </c>
      <c r="AF30" s="82">
        <v>0</v>
      </c>
    </row>
    <row r="31" spans="1:48" ht="12" x14ac:dyDescent="0.25">
      <c r="A31" s="11" t="s">
        <v>270</v>
      </c>
      <c r="B31" s="34"/>
      <c r="C31" s="127" t="s">
        <v>321</v>
      </c>
      <c r="D31" s="77"/>
      <c r="E31" s="129">
        <v>59.665791640000009</v>
      </c>
      <c r="F31" s="129">
        <v>0</v>
      </c>
      <c r="G31" s="130" t="str">
        <f t="shared" si="24"/>
        <v>NM</v>
      </c>
      <c r="H31" s="80"/>
      <c r="I31" s="129">
        <v>33.206217520000003</v>
      </c>
      <c r="J31" s="129">
        <v>0</v>
      </c>
      <c r="K31" s="130" t="str">
        <f t="shared" si="28"/>
        <v>NM</v>
      </c>
      <c r="L31" s="80"/>
      <c r="M31" s="129">
        <v>33.206217520000003</v>
      </c>
      <c r="N31" s="129">
        <v>0</v>
      </c>
      <c r="O31" s="130" t="str">
        <f t="shared" si="26"/>
        <v>NM</v>
      </c>
      <c r="P31" s="80"/>
      <c r="Q31" s="129">
        <v>26.459574120000003</v>
      </c>
      <c r="R31" s="130">
        <f t="shared" si="27"/>
        <v>0.25497928913755308</v>
      </c>
      <c r="S31" s="80"/>
      <c r="T31" s="129">
        <v>59.665791640000009</v>
      </c>
      <c r="U31" s="129">
        <v>33.206217520000003</v>
      </c>
      <c r="V31" s="129">
        <v>26.459574120000003</v>
      </c>
      <c r="W31" s="129">
        <v>26.459574120000003</v>
      </c>
      <c r="X31" s="129">
        <v>0</v>
      </c>
      <c r="Y31" s="80"/>
      <c r="Z31" s="129">
        <v>0</v>
      </c>
      <c r="AA31" s="129">
        <v>0</v>
      </c>
      <c r="AB31" s="129">
        <v>0</v>
      </c>
      <c r="AC31" s="129">
        <v>0</v>
      </c>
      <c r="AD31" s="129">
        <v>0</v>
      </c>
      <c r="AE31" s="129">
        <v>0</v>
      </c>
      <c r="AF31" s="129">
        <v>0</v>
      </c>
      <c r="AH31" s="129"/>
      <c r="AI31" s="129"/>
      <c r="AJ31" s="129"/>
      <c r="AK31" s="129"/>
      <c r="AL31" s="129"/>
      <c r="AM31" s="129"/>
      <c r="AN31" s="129"/>
      <c r="AP31" s="129"/>
      <c r="AQ31" s="129"/>
      <c r="AR31" s="129"/>
      <c r="AS31" s="129"/>
      <c r="AT31" s="129"/>
      <c r="AU31" s="129"/>
      <c r="AV31" s="129"/>
    </row>
    <row r="32" spans="1:48" ht="12" x14ac:dyDescent="0.25">
      <c r="A32" s="11" t="s">
        <v>49</v>
      </c>
      <c r="B32" s="34"/>
      <c r="C32" s="27" t="s">
        <v>314</v>
      </c>
      <c r="D32" s="34"/>
      <c r="E32" s="24">
        <v>1567.24073894</v>
      </c>
      <c r="F32" s="24">
        <v>1236.6509913299994</v>
      </c>
      <c r="G32" s="21">
        <f t="shared" si="24"/>
        <v>0.26732663453773342</v>
      </c>
      <c r="H32" s="47"/>
      <c r="I32" s="24">
        <v>327.13591709000002</v>
      </c>
      <c r="J32" s="24">
        <v>413.08999711000047</v>
      </c>
      <c r="K32" s="21">
        <f t="shared" si="28"/>
        <v>-0.20807591716415252</v>
      </c>
      <c r="L32" s="47"/>
      <c r="M32" s="24">
        <v>327.13591709000002</v>
      </c>
      <c r="N32" s="24">
        <v>413.08999711000047</v>
      </c>
      <c r="O32" s="21">
        <f t="shared" si="26"/>
        <v>-0.20807591716415252</v>
      </c>
      <c r="P32" s="47"/>
      <c r="Q32" s="24">
        <v>811.04250186000013</v>
      </c>
      <c r="R32" s="21">
        <f t="shared" si="27"/>
        <v>-0.5966476277879833</v>
      </c>
      <c r="S32" s="47"/>
      <c r="T32" s="24">
        <v>1567.24073894</v>
      </c>
      <c r="U32" s="24">
        <v>327.13591709000002</v>
      </c>
      <c r="V32" s="24">
        <v>1240.1048218500002</v>
      </c>
      <c r="W32" s="24">
        <v>811.04250186000013</v>
      </c>
      <c r="X32" s="24">
        <v>429.06231998999982</v>
      </c>
      <c r="Y32" s="47"/>
      <c r="Z32" s="24">
        <v>1667.8789062800004</v>
      </c>
      <c r="AA32" s="24">
        <v>431.22791495000035</v>
      </c>
      <c r="AB32" s="24">
        <v>1236.6509913299994</v>
      </c>
      <c r="AC32" s="24">
        <v>413.08999711000047</v>
      </c>
      <c r="AD32" s="24">
        <v>823.56099421999932</v>
      </c>
      <c r="AE32" s="24">
        <v>430.60858325999993</v>
      </c>
      <c r="AF32" s="24">
        <v>392.95241095999961</v>
      </c>
      <c r="AH32" s="24">
        <v>1510.6994364899999</v>
      </c>
      <c r="AI32" s="24">
        <v>386.95226125999983</v>
      </c>
      <c r="AJ32" s="24">
        <v>1123.7471752300007</v>
      </c>
      <c r="AK32" s="24">
        <v>356.34256023999967</v>
      </c>
      <c r="AL32" s="24">
        <v>767.40461499000139</v>
      </c>
      <c r="AM32" s="24">
        <v>397.66460420000084</v>
      </c>
      <c r="AN32" s="24">
        <v>369.7400107900005</v>
      </c>
      <c r="AP32" s="24">
        <v>1402.8819512099999</v>
      </c>
      <c r="AQ32" s="24">
        <v>375.38638859000082</v>
      </c>
      <c r="AR32" s="24">
        <v>1027.4955626199999</v>
      </c>
      <c r="AS32" s="24">
        <v>337.41712244999854</v>
      </c>
      <c r="AT32" s="24">
        <v>690.07844017000048</v>
      </c>
      <c r="AU32" s="24">
        <v>292.27297846000073</v>
      </c>
      <c r="AV32" s="24">
        <v>397.80546170999986</v>
      </c>
    </row>
    <row r="33" spans="1:48" ht="12" x14ac:dyDescent="0.25">
      <c r="A33" s="11" t="s">
        <v>50</v>
      </c>
      <c r="B33" s="34"/>
      <c r="C33" s="18" t="s">
        <v>315</v>
      </c>
      <c r="E33" s="25">
        <v>1339.5565314000003</v>
      </c>
      <c r="F33" s="25">
        <v>1304.5193236066659</v>
      </c>
      <c r="G33" s="26">
        <f t="shared" si="24"/>
        <v>2.6858327936810644E-2</v>
      </c>
      <c r="H33" s="47"/>
      <c r="I33" s="25">
        <v>445.05069607000007</v>
      </c>
      <c r="J33" s="25">
        <v>436.83827639666714</v>
      </c>
      <c r="K33" s="26">
        <f t="shared" si="28"/>
        <v>1.8799679691702931E-2</v>
      </c>
      <c r="L33" s="47"/>
      <c r="M33" s="25">
        <v>445.05069607000007</v>
      </c>
      <c r="N33" s="25">
        <v>436.83827639666714</v>
      </c>
      <c r="O33" s="26">
        <f t="shared" si="26"/>
        <v>1.8799679691702931E-2</v>
      </c>
      <c r="P33" s="47"/>
      <c r="Q33" s="25">
        <v>436.90794860000017</v>
      </c>
      <c r="R33" s="26">
        <f t="shared" si="27"/>
        <v>1.8637215221403158E-2</v>
      </c>
      <c r="S33" s="47"/>
      <c r="T33" s="25">
        <v>1339.5565314000003</v>
      </c>
      <c r="U33" s="25">
        <v>445.05069607000007</v>
      </c>
      <c r="V33" s="25">
        <v>894.50583533000031</v>
      </c>
      <c r="W33" s="25">
        <v>436.90794860000017</v>
      </c>
      <c r="X33" s="25">
        <v>457.5978867299998</v>
      </c>
      <c r="Y33" s="47"/>
      <c r="Z33" s="25">
        <v>1773.7526728985556</v>
      </c>
      <c r="AA33" s="25">
        <v>469.23334929188871</v>
      </c>
      <c r="AB33" s="25">
        <v>1304.5193236066659</v>
      </c>
      <c r="AC33" s="25">
        <v>436.83827639666714</v>
      </c>
      <c r="AD33" s="25">
        <v>867.68104720999929</v>
      </c>
      <c r="AE33" s="25">
        <v>454.33161354999993</v>
      </c>
      <c r="AF33" s="25">
        <v>413.34943365999959</v>
      </c>
      <c r="AH33" s="25">
        <v>1592.3434787199999</v>
      </c>
      <c r="AI33" s="25">
        <v>407.35597706999982</v>
      </c>
      <c r="AJ33" s="25">
        <v>1184.9875016500007</v>
      </c>
      <c r="AK33" s="25">
        <v>376.7533993299997</v>
      </c>
      <c r="AL33" s="25">
        <v>808.2341023200014</v>
      </c>
      <c r="AM33" s="25">
        <v>418.07898733000081</v>
      </c>
      <c r="AN33" s="25">
        <v>390.15511499000047</v>
      </c>
      <c r="AP33" s="25">
        <v>1546.0328434978155</v>
      </c>
      <c r="AQ33" s="25">
        <v>398.09137838000083</v>
      </c>
      <c r="AR33" s="25">
        <v>1147.9414651178156</v>
      </c>
      <c r="AS33" s="25">
        <v>366.4946004178143</v>
      </c>
      <c r="AT33" s="25">
        <v>781.44686470000056</v>
      </c>
      <c r="AU33" s="25">
        <v>353.07397031000073</v>
      </c>
      <c r="AV33" s="25">
        <v>428.37289438999989</v>
      </c>
    </row>
    <row r="34" spans="1:48" ht="12" hidden="1" x14ac:dyDescent="0.25">
      <c r="A34" s="11" t="s">
        <v>51</v>
      </c>
      <c r="B34" s="34"/>
      <c r="C34" s="22" t="s">
        <v>95</v>
      </c>
      <c r="D34" s="35"/>
      <c r="E34" s="29">
        <v>1339.5565314000003</v>
      </c>
      <c r="F34" s="29">
        <v>1304.5193236066659</v>
      </c>
      <c r="G34" s="30">
        <f t="shared" si="24"/>
        <v>2.6858327936810644E-2</v>
      </c>
      <c r="H34" s="48"/>
      <c r="I34" s="29">
        <v>445.05069607000007</v>
      </c>
      <c r="J34" s="29">
        <v>436.83827639666714</v>
      </c>
      <c r="K34" s="30">
        <f t="shared" si="28"/>
        <v>1.8799679691702931E-2</v>
      </c>
      <c r="L34" s="48"/>
      <c r="M34" s="29">
        <v>445.05069607000007</v>
      </c>
      <c r="N34" s="29">
        <v>436.83827639666714</v>
      </c>
      <c r="O34" s="30">
        <f t="shared" si="26"/>
        <v>1.8799679691702931E-2</v>
      </c>
      <c r="P34" s="48"/>
      <c r="Q34" s="29">
        <v>436.90794860000017</v>
      </c>
      <c r="R34" s="30">
        <f t="shared" si="27"/>
        <v>1.8637215221403158E-2</v>
      </c>
      <c r="S34" s="48"/>
      <c r="T34" s="29">
        <v>1339.5565314000003</v>
      </c>
      <c r="U34" s="29">
        <v>445.05069607000007</v>
      </c>
      <c r="V34" s="29">
        <v>894.50583533000031</v>
      </c>
      <c r="W34" s="29">
        <v>436.90794860000017</v>
      </c>
      <c r="X34" s="29">
        <v>457.5978867299998</v>
      </c>
      <c r="Y34" s="48"/>
      <c r="Z34" s="29">
        <v>1773.7526728985556</v>
      </c>
      <c r="AA34" s="29">
        <v>469.23334929188871</v>
      </c>
      <c r="AB34" s="29">
        <v>1304.5193236066659</v>
      </c>
      <c r="AC34" s="29">
        <v>436.83827639666714</v>
      </c>
      <c r="AD34" s="29">
        <v>867.68104720999929</v>
      </c>
      <c r="AE34" s="29">
        <v>454.33161354999993</v>
      </c>
      <c r="AF34" s="29">
        <v>413.34943365999959</v>
      </c>
      <c r="AH34" s="29">
        <v>1592.3434787199999</v>
      </c>
      <c r="AI34" s="29">
        <v>407.35597706999982</v>
      </c>
      <c r="AJ34" s="29">
        <v>1184.9875016500007</v>
      </c>
      <c r="AK34" s="29">
        <v>376.7533993299997</v>
      </c>
      <c r="AL34" s="29">
        <v>808.2341023200014</v>
      </c>
      <c r="AM34" s="29">
        <v>418.07898733000081</v>
      </c>
      <c r="AN34" s="29">
        <v>390.15511499000047</v>
      </c>
      <c r="AP34" s="29">
        <v>1546.0328434978155</v>
      </c>
      <c r="AQ34" s="29">
        <v>398.09137838000083</v>
      </c>
      <c r="AR34" s="29">
        <v>1147.9414651178156</v>
      </c>
      <c r="AS34" s="29">
        <v>366.4946004178143</v>
      </c>
      <c r="AT34" s="29">
        <v>781.44686470000056</v>
      </c>
      <c r="AU34" s="29">
        <v>353.07397031000073</v>
      </c>
      <c r="AV34" s="29">
        <v>428.37289438999989</v>
      </c>
    </row>
    <row r="35" spans="1:48" ht="12" x14ac:dyDescent="0.25">
      <c r="A35" s="11" t="s">
        <v>52</v>
      </c>
      <c r="B35" s="34"/>
      <c r="C35" s="84" t="s">
        <v>96</v>
      </c>
      <c r="D35" s="77"/>
      <c r="E35" s="82">
        <v>-323.75282512999996</v>
      </c>
      <c r="F35" s="82">
        <v>-282.91142402999998</v>
      </c>
      <c r="G35" s="83">
        <f t="shared" si="24"/>
        <v>0.14436108842203965</v>
      </c>
      <c r="H35" s="80"/>
      <c r="I35" s="82">
        <v>-79.191882579999998</v>
      </c>
      <c r="J35" s="82">
        <v>-94.182857540000015</v>
      </c>
      <c r="K35" s="83">
        <f t="shared" si="28"/>
        <v>-0.15916882701964374</v>
      </c>
      <c r="L35" s="80"/>
      <c r="M35" s="82">
        <v>-79.191882579999998</v>
      </c>
      <c r="N35" s="82">
        <v>-94.182857540000015</v>
      </c>
      <c r="O35" s="83">
        <f t="shared" si="26"/>
        <v>-0.15916882701964374</v>
      </c>
      <c r="P35" s="80"/>
      <c r="Q35" s="82">
        <v>-97.472057489999969</v>
      </c>
      <c r="R35" s="83">
        <f t="shared" si="27"/>
        <v>-0.18754272127553484</v>
      </c>
      <c r="S35" s="80"/>
      <c r="T35" s="82">
        <v>-323.75282512999996</v>
      </c>
      <c r="U35" s="82">
        <v>-79.191882579999998</v>
      </c>
      <c r="V35" s="82">
        <v>-244.56094254999996</v>
      </c>
      <c r="W35" s="82">
        <v>-97.472057489999969</v>
      </c>
      <c r="X35" s="82">
        <v>-147.08888506</v>
      </c>
      <c r="Y35" s="80"/>
      <c r="Z35" s="82">
        <v>-365.54856972999994</v>
      </c>
      <c r="AA35" s="82">
        <v>-82.637145699999991</v>
      </c>
      <c r="AB35" s="82">
        <v>-282.91142402999998</v>
      </c>
      <c r="AC35" s="82">
        <v>-94.182857540000015</v>
      </c>
      <c r="AD35" s="82">
        <v>-188.72856648999996</v>
      </c>
      <c r="AE35" s="82">
        <v>-97.930272729999956</v>
      </c>
      <c r="AF35" s="82">
        <v>-90.798293760000007</v>
      </c>
      <c r="AH35" s="82">
        <v>-350.75768943999981</v>
      </c>
      <c r="AI35" s="82">
        <v>-90.709601519999836</v>
      </c>
      <c r="AJ35" s="82">
        <v>-260.04808792</v>
      </c>
      <c r="AK35" s="82">
        <v>-81.812589239999994</v>
      </c>
      <c r="AL35" s="82">
        <v>-178.23549868000001</v>
      </c>
      <c r="AM35" s="82">
        <v>-93.063751369999977</v>
      </c>
      <c r="AN35" s="82">
        <v>-85.171747310000029</v>
      </c>
      <c r="AP35" s="82">
        <v>-328.66897670000009</v>
      </c>
      <c r="AQ35" s="82">
        <v>-89.303934350000191</v>
      </c>
      <c r="AR35" s="82">
        <v>-239.3650423499999</v>
      </c>
      <c r="AS35" s="82">
        <v>-77.167148989999902</v>
      </c>
      <c r="AT35" s="82">
        <v>-162.19789335999999</v>
      </c>
      <c r="AU35" s="82">
        <v>-67.798341349999987</v>
      </c>
      <c r="AV35" s="82">
        <v>-94.399552010000008</v>
      </c>
    </row>
    <row r="36" spans="1:48" ht="12" x14ac:dyDescent="0.25">
      <c r="A36" s="11" t="s">
        <v>53</v>
      </c>
      <c r="B36" s="34"/>
      <c r="C36" s="127" t="s">
        <v>97</v>
      </c>
      <c r="D36" s="77"/>
      <c r="E36" s="129">
        <v>-364.55504619999999</v>
      </c>
      <c r="F36" s="129">
        <v>-301.58332723490997</v>
      </c>
      <c r="G36" s="130">
        <f t="shared" si="24"/>
        <v>0.20880371452378044</v>
      </c>
      <c r="H36" s="80"/>
      <c r="I36" s="129">
        <v>-105.75193487</v>
      </c>
      <c r="J36" s="129">
        <v>-100.57683751497001</v>
      </c>
      <c r="K36" s="130">
        <f t="shared" si="28"/>
        <v>5.1454166614253616E-2</v>
      </c>
      <c r="L36" s="80"/>
      <c r="M36" s="129">
        <v>-105.75193487</v>
      </c>
      <c r="N36" s="129">
        <v>-100.57683751497001</v>
      </c>
      <c r="O36" s="130">
        <f t="shared" si="26"/>
        <v>5.1454166614253616E-2</v>
      </c>
      <c r="P36" s="80"/>
      <c r="Q36" s="129">
        <v>-103.66600650999997</v>
      </c>
      <c r="R36" s="130">
        <f t="shared" si="27"/>
        <v>2.0121623570006131E-2</v>
      </c>
      <c r="S36" s="80"/>
      <c r="T36" s="129">
        <v>-364.55504619999999</v>
      </c>
      <c r="U36" s="129">
        <v>-105.75193487</v>
      </c>
      <c r="V36" s="129">
        <v>-258.80311132999998</v>
      </c>
      <c r="W36" s="129">
        <v>-103.66600650999997</v>
      </c>
      <c r="X36" s="129">
        <v>-155.13710481999999</v>
      </c>
      <c r="Y36" s="80"/>
      <c r="Z36" s="129">
        <v>-394.29855228553816</v>
      </c>
      <c r="AA36" s="129">
        <v>-92.71522505062822</v>
      </c>
      <c r="AB36" s="129">
        <v>-301.58332723490997</v>
      </c>
      <c r="AC36" s="129">
        <v>-100.57683751497001</v>
      </c>
      <c r="AD36" s="129">
        <v>-201.00648971993996</v>
      </c>
      <c r="AE36" s="129">
        <v>-104.50562417496995</v>
      </c>
      <c r="AF36" s="129">
        <v>-96.500865544970011</v>
      </c>
      <c r="AH36" s="129">
        <v>-373.64122929999979</v>
      </c>
      <c r="AI36" s="129">
        <v>-96.428664067499838</v>
      </c>
      <c r="AJ36" s="129">
        <v>-277.21256523250003</v>
      </c>
      <c r="AK36" s="129">
        <v>-87.501667017499997</v>
      </c>
      <c r="AL36" s="129">
        <v>-189.71089821500001</v>
      </c>
      <c r="AM36" s="129">
        <v>-98.816882627499979</v>
      </c>
      <c r="AN36" s="129">
        <v>-90.894015587500036</v>
      </c>
      <c r="AP36" s="129">
        <v>-367.53434337762678</v>
      </c>
      <c r="AQ36" s="129">
        <v>-95.634384755360188</v>
      </c>
      <c r="AR36" s="129">
        <v>-271.89995862226658</v>
      </c>
      <c r="AS36" s="129">
        <v>-85.145769154210612</v>
      </c>
      <c r="AT36" s="129">
        <v>-186.75418946805598</v>
      </c>
      <c r="AU36" s="129">
        <v>-83.989103962187983</v>
      </c>
      <c r="AV36" s="129">
        <v>-102.765085505868</v>
      </c>
    </row>
    <row r="37" spans="1:48" ht="12" hidden="1" x14ac:dyDescent="0.25">
      <c r="A37" s="11" t="s">
        <v>54</v>
      </c>
      <c r="B37" s="34"/>
      <c r="C37" s="127" t="s">
        <v>98</v>
      </c>
      <c r="D37" s="77"/>
      <c r="E37" s="129">
        <v>-364.55504619999999</v>
      </c>
      <c r="F37" s="129">
        <v>-301.58332723490997</v>
      </c>
      <c r="G37" s="130">
        <f t="shared" si="24"/>
        <v>0.20880371452378044</v>
      </c>
      <c r="H37" s="80"/>
      <c r="I37" s="129">
        <v>-105.75193487</v>
      </c>
      <c r="J37" s="129">
        <v>-100.57683751497001</v>
      </c>
      <c r="K37" s="130">
        <f t="shared" si="28"/>
        <v>5.1454166614253616E-2</v>
      </c>
      <c r="L37" s="80"/>
      <c r="M37" s="129">
        <v>-105.75193487</v>
      </c>
      <c r="N37" s="129">
        <v>-100.57683751497001</v>
      </c>
      <c r="O37" s="130">
        <f t="shared" si="26"/>
        <v>5.1454166614253616E-2</v>
      </c>
      <c r="P37" s="80"/>
      <c r="Q37" s="129">
        <v>-103.66600650999997</v>
      </c>
      <c r="R37" s="130">
        <f t="shared" si="27"/>
        <v>2.0121623570006131E-2</v>
      </c>
      <c r="S37" s="80"/>
      <c r="T37" s="129">
        <v>-364.55504619999999</v>
      </c>
      <c r="U37" s="129">
        <v>-105.75193487</v>
      </c>
      <c r="V37" s="129">
        <v>-258.80311132999998</v>
      </c>
      <c r="W37" s="129">
        <v>-103.66600650999997</v>
      </c>
      <c r="X37" s="129">
        <v>-155.13710481999999</v>
      </c>
      <c r="Y37" s="80"/>
      <c r="Z37" s="129">
        <v>-394.29855228553816</v>
      </c>
      <c r="AA37" s="129">
        <v>-92.71522505062822</v>
      </c>
      <c r="AB37" s="129">
        <v>-301.58332723490997</v>
      </c>
      <c r="AC37" s="129">
        <v>-100.57683751497001</v>
      </c>
      <c r="AD37" s="129">
        <v>-201.00648971993996</v>
      </c>
      <c r="AE37" s="129">
        <v>-104.50562417496995</v>
      </c>
      <c r="AF37" s="129">
        <v>-96.500865544970011</v>
      </c>
      <c r="AH37" s="129">
        <v>-373.64122929999979</v>
      </c>
      <c r="AI37" s="129">
        <v>-96.428664067499838</v>
      </c>
      <c r="AJ37" s="129">
        <v>-277.21256523250003</v>
      </c>
      <c r="AK37" s="129">
        <v>-87.501667017499997</v>
      </c>
      <c r="AL37" s="129">
        <v>-189.71089821500001</v>
      </c>
      <c r="AM37" s="129">
        <v>-98.816882627499979</v>
      </c>
      <c r="AN37" s="129">
        <v>-90.894015587500036</v>
      </c>
      <c r="AP37" s="129">
        <v>-367.53434337762678</v>
      </c>
      <c r="AQ37" s="129">
        <v>-95.634384755360188</v>
      </c>
      <c r="AR37" s="129">
        <v>-271.89995862226658</v>
      </c>
      <c r="AS37" s="129">
        <v>-85.145769154210612</v>
      </c>
      <c r="AT37" s="129">
        <v>-186.75418946805598</v>
      </c>
      <c r="AU37" s="129">
        <v>-83.989103962187983</v>
      </c>
      <c r="AV37" s="129">
        <v>-102.765085505868</v>
      </c>
    </row>
    <row r="38" spans="1:48" ht="12" x14ac:dyDescent="0.25">
      <c r="A38" s="11" t="s">
        <v>55</v>
      </c>
      <c r="B38" s="34"/>
      <c r="C38" s="84" t="s">
        <v>99</v>
      </c>
      <c r="D38" s="77"/>
      <c r="E38" s="82">
        <v>2.75210993</v>
      </c>
      <c r="F38" s="82">
        <v>1.9811037200000001</v>
      </c>
      <c r="G38" s="83">
        <f t="shared" si="24"/>
        <v>0.38918013338544433</v>
      </c>
      <c r="H38" s="80"/>
      <c r="I38" s="82">
        <v>0.61955785000000008</v>
      </c>
      <c r="J38" s="82">
        <v>0.84751324000000006</v>
      </c>
      <c r="K38" s="83">
        <f t="shared" si="28"/>
        <v>-0.26896970954695643</v>
      </c>
      <c r="L38" s="80"/>
      <c r="M38" s="82">
        <v>0.61955785000000008</v>
      </c>
      <c r="N38" s="82">
        <v>0.84751324000000006</v>
      </c>
      <c r="O38" s="83">
        <f t="shared" si="26"/>
        <v>-0.26896970954695643</v>
      </c>
      <c r="P38" s="80"/>
      <c r="Q38" s="82">
        <v>1.2158649500000001</v>
      </c>
      <c r="R38" s="83">
        <f t="shared" si="27"/>
        <v>-0.49043859681949054</v>
      </c>
      <c r="S38" s="80"/>
      <c r="T38" s="82">
        <v>2.75210993</v>
      </c>
      <c r="U38" s="82">
        <v>0.61955785000000008</v>
      </c>
      <c r="V38" s="82">
        <v>2.13255208</v>
      </c>
      <c r="W38" s="82">
        <v>1.2158649500000001</v>
      </c>
      <c r="X38" s="82">
        <v>0.91668713000000002</v>
      </c>
      <c r="Y38" s="80"/>
      <c r="Z38" s="82">
        <v>2.7913310100000008</v>
      </c>
      <c r="AA38" s="82">
        <v>0.81022729000000071</v>
      </c>
      <c r="AB38" s="82">
        <v>1.9811037200000001</v>
      </c>
      <c r="AC38" s="82">
        <v>0.84751324000000006</v>
      </c>
      <c r="AD38" s="82">
        <v>1.1335904800000001</v>
      </c>
      <c r="AE38" s="82">
        <v>0.33140102000000016</v>
      </c>
      <c r="AF38" s="82">
        <v>0.80218945999999991</v>
      </c>
      <c r="AH38" s="82">
        <v>4.9417788300000005</v>
      </c>
      <c r="AI38" s="82">
        <v>2.2916468299999999</v>
      </c>
      <c r="AJ38" s="82">
        <v>2.6501320000000002</v>
      </c>
      <c r="AK38" s="82">
        <v>1.1077176500000001</v>
      </c>
      <c r="AL38" s="82">
        <v>1.54241435</v>
      </c>
      <c r="AM38" s="82">
        <v>0.8759712300000001</v>
      </c>
      <c r="AN38" s="82">
        <v>0.66644311999999994</v>
      </c>
      <c r="AP38" s="82">
        <v>-0.49885465999999989</v>
      </c>
      <c r="AQ38" s="82">
        <v>0.38036523000000011</v>
      </c>
      <c r="AR38" s="82">
        <v>-0.87921989</v>
      </c>
      <c r="AS38" s="82">
        <v>0.46627289000000005</v>
      </c>
      <c r="AT38" s="82">
        <v>-1.3454927800000001</v>
      </c>
      <c r="AU38" s="82">
        <v>2.1989669999999961E-2</v>
      </c>
      <c r="AV38" s="82">
        <v>-1.36748245</v>
      </c>
    </row>
    <row r="39" spans="1:48" ht="12" x14ac:dyDescent="0.25">
      <c r="A39" s="11" t="s">
        <v>56</v>
      </c>
      <c r="B39" s="34"/>
      <c r="C39" s="27" t="s">
        <v>100</v>
      </c>
      <c r="D39" s="34"/>
      <c r="E39" s="24">
        <v>1246.24002374</v>
      </c>
      <c r="F39" s="24">
        <v>955.72067101999937</v>
      </c>
      <c r="G39" s="21">
        <f t="shared" si="24"/>
        <v>0.30397935456386205</v>
      </c>
      <c r="H39" s="47"/>
      <c r="I39" s="24">
        <v>248.56359236000003</v>
      </c>
      <c r="J39" s="24">
        <v>319.75465281000049</v>
      </c>
      <c r="K39" s="21">
        <f t="shared" si="28"/>
        <v>-0.22264276633466995</v>
      </c>
      <c r="L39" s="47"/>
      <c r="M39" s="24">
        <v>248.56359236000003</v>
      </c>
      <c r="N39" s="24">
        <v>319.75465281000049</v>
      </c>
      <c r="O39" s="21">
        <f t="shared" si="26"/>
        <v>-0.22264276633466995</v>
      </c>
      <c r="P39" s="47"/>
      <c r="Q39" s="24">
        <v>714.7863093200001</v>
      </c>
      <c r="R39" s="21">
        <f t="shared" si="27"/>
        <v>-0.65225468210706672</v>
      </c>
      <c r="S39" s="47"/>
      <c r="T39" s="24">
        <v>1246.24002374</v>
      </c>
      <c r="U39" s="24">
        <v>248.56359236000003</v>
      </c>
      <c r="V39" s="24">
        <v>997.67643138000028</v>
      </c>
      <c r="W39" s="24">
        <v>714.7863093200001</v>
      </c>
      <c r="X39" s="24">
        <v>282.89012205999984</v>
      </c>
      <c r="Y39" s="47"/>
      <c r="Z39" s="24">
        <v>1305.1216675600006</v>
      </c>
      <c r="AA39" s="24">
        <v>349.40099654000034</v>
      </c>
      <c r="AB39" s="24">
        <v>955.72067101999937</v>
      </c>
      <c r="AC39" s="24">
        <v>319.75465281000049</v>
      </c>
      <c r="AD39" s="24">
        <v>635.96601820999933</v>
      </c>
      <c r="AE39" s="24">
        <v>333.00971154999996</v>
      </c>
      <c r="AF39" s="24">
        <v>302.95630665999965</v>
      </c>
      <c r="AH39" s="24">
        <v>1164.8835258800002</v>
      </c>
      <c r="AI39" s="24">
        <v>298.53430657000001</v>
      </c>
      <c r="AJ39" s="24">
        <v>866.34921931000076</v>
      </c>
      <c r="AK39" s="24">
        <v>275.63768864999969</v>
      </c>
      <c r="AL39" s="24">
        <v>590.71153066000136</v>
      </c>
      <c r="AM39" s="24">
        <v>305.47682406000087</v>
      </c>
      <c r="AN39" s="24">
        <v>285.23470660000049</v>
      </c>
      <c r="AP39" s="24">
        <v>1073.7141198499999</v>
      </c>
      <c r="AQ39" s="24">
        <v>286.46281947000062</v>
      </c>
      <c r="AR39" s="24">
        <v>787.25130038000009</v>
      </c>
      <c r="AS39" s="24">
        <v>260.71624634999864</v>
      </c>
      <c r="AT39" s="24">
        <v>526.53505403000054</v>
      </c>
      <c r="AU39" s="24">
        <v>224.49662678000075</v>
      </c>
      <c r="AV39" s="24">
        <v>302.03842724999981</v>
      </c>
    </row>
    <row r="40" spans="1:48" ht="12" x14ac:dyDescent="0.25">
      <c r="A40" s="11" t="s">
        <v>57</v>
      </c>
      <c r="B40" s="34"/>
      <c r="C40" s="19" t="s">
        <v>101</v>
      </c>
      <c r="D40" s="20"/>
      <c r="E40" s="25">
        <v>977.75359513000001</v>
      </c>
      <c r="F40" s="25">
        <v>1004.9171000917561</v>
      </c>
      <c r="G40" s="26">
        <f t="shared" si="24"/>
        <v>-2.7030592831265188E-2</v>
      </c>
      <c r="H40" s="47"/>
      <c r="I40" s="25">
        <v>339.91831905000004</v>
      </c>
      <c r="J40" s="25">
        <v>337.10895212169714</v>
      </c>
      <c r="K40" s="26">
        <f t="shared" si="28"/>
        <v>8.3337060930044338E-3</v>
      </c>
      <c r="L40" s="47"/>
      <c r="M40" s="25">
        <v>339.91831905000004</v>
      </c>
      <c r="N40" s="25">
        <v>337.10895212169714</v>
      </c>
      <c r="O40" s="26">
        <f t="shared" si="26"/>
        <v>8.3337060930044338E-3</v>
      </c>
      <c r="P40" s="47"/>
      <c r="Q40" s="25">
        <v>334.45780704000015</v>
      </c>
      <c r="R40" s="26">
        <f t="shared" si="27"/>
        <v>1.6326460005003929E-2</v>
      </c>
      <c r="S40" s="47"/>
      <c r="T40" s="25">
        <v>977.75359513000001</v>
      </c>
      <c r="U40" s="25">
        <v>339.91831905000004</v>
      </c>
      <c r="V40" s="25">
        <v>637.83527608000031</v>
      </c>
      <c r="W40" s="25">
        <v>334.45780704000015</v>
      </c>
      <c r="X40" s="25">
        <v>303.37746903999982</v>
      </c>
      <c r="Y40" s="47"/>
      <c r="Z40" s="25">
        <v>1382.2454516230173</v>
      </c>
      <c r="AA40" s="25">
        <v>377.32835153126047</v>
      </c>
      <c r="AB40" s="25">
        <v>1004.9171000917561</v>
      </c>
      <c r="AC40" s="25">
        <v>337.10895212169714</v>
      </c>
      <c r="AD40" s="25">
        <v>667.80814797005928</v>
      </c>
      <c r="AE40" s="25">
        <v>350.15739039502995</v>
      </c>
      <c r="AF40" s="25">
        <v>317.65075757502967</v>
      </c>
      <c r="AH40" s="25">
        <v>1223.6440282500002</v>
      </c>
      <c r="AI40" s="25">
        <v>313.21895983249999</v>
      </c>
      <c r="AJ40" s="25">
        <v>910.42506841750082</v>
      </c>
      <c r="AK40" s="25">
        <v>290.3594499624997</v>
      </c>
      <c r="AL40" s="25">
        <v>620.06561845500141</v>
      </c>
      <c r="AM40" s="25">
        <v>320.13807593250084</v>
      </c>
      <c r="AN40" s="25">
        <v>299.92754252250052</v>
      </c>
      <c r="AP40" s="25">
        <v>1177.999645460189</v>
      </c>
      <c r="AQ40" s="25">
        <v>302.83735885464063</v>
      </c>
      <c r="AR40" s="25">
        <v>875.16228660554907</v>
      </c>
      <c r="AS40" s="25">
        <v>281.81510415360367</v>
      </c>
      <c r="AT40" s="25">
        <v>593.34718245194449</v>
      </c>
      <c r="AU40" s="25">
        <v>269.10685601781279</v>
      </c>
      <c r="AV40" s="25">
        <v>324.24032643413182</v>
      </c>
    </row>
    <row r="41" spans="1:48" ht="12" hidden="1" x14ac:dyDescent="0.25">
      <c r="A41" s="11" t="s">
        <v>58</v>
      </c>
      <c r="B41" s="34"/>
      <c r="C41" s="36" t="s">
        <v>102</v>
      </c>
      <c r="D41" s="35"/>
      <c r="E41" s="37">
        <v>977.75359513000001</v>
      </c>
      <c r="F41" s="37">
        <v>1004.9171000917561</v>
      </c>
      <c r="G41" s="38">
        <f t="shared" si="24"/>
        <v>-2.7030592831265188E-2</v>
      </c>
      <c r="H41" s="48"/>
      <c r="I41" s="37">
        <v>339.91831905000004</v>
      </c>
      <c r="J41" s="37">
        <v>337.10895212169714</v>
      </c>
      <c r="K41" s="38">
        <f t="shared" si="28"/>
        <v>8.3337060930044338E-3</v>
      </c>
      <c r="L41" s="48"/>
      <c r="M41" s="37">
        <v>339.91831905000004</v>
      </c>
      <c r="N41" s="37">
        <v>337.10895212169714</v>
      </c>
      <c r="O41" s="38">
        <f t="shared" si="26"/>
        <v>8.3337060930044338E-3</v>
      </c>
      <c r="P41" s="48"/>
      <c r="Q41" s="37">
        <v>334.45780704000015</v>
      </c>
      <c r="R41" s="38">
        <f t="shared" si="27"/>
        <v>1.6326460005003929E-2</v>
      </c>
      <c r="S41" s="48"/>
      <c r="T41" s="37">
        <v>977.75359513000001</v>
      </c>
      <c r="U41" s="37">
        <v>339.91831905000004</v>
      </c>
      <c r="V41" s="37">
        <v>637.83527608000031</v>
      </c>
      <c r="W41" s="37">
        <v>334.45780704000015</v>
      </c>
      <c r="X41" s="37">
        <v>303.37746903999982</v>
      </c>
      <c r="Y41" s="48"/>
      <c r="Z41" s="37">
        <v>1382.2454516230173</v>
      </c>
      <c r="AA41" s="37">
        <v>377.32835153126047</v>
      </c>
      <c r="AB41" s="37">
        <v>1004.9171000917561</v>
      </c>
      <c r="AC41" s="37">
        <v>337.10895212169714</v>
      </c>
      <c r="AD41" s="37">
        <v>667.80814797005928</v>
      </c>
      <c r="AE41" s="37">
        <v>350.15739039502995</v>
      </c>
      <c r="AF41" s="37">
        <v>317.65075757502967</v>
      </c>
      <c r="AH41" s="37">
        <v>1223.6440282500002</v>
      </c>
      <c r="AI41" s="37">
        <v>313.21895983249999</v>
      </c>
      <c r="AJ41" s="37">
        <v>910.42506841750082</v>
      </c>
      <c r="AK41" s="37">
        <v>290.3594499624997</v>
      </c>
      <c r="AL41" s="37">
        <v>620.06561845500141</v>
      </c>
      <c r="AM41" s="37">
        <v>320.13807593250084</v>
      </c>
      <c r="AN41" s="37">
        <v>299.92754252250052</v>
      </c>
      <c r="AP41" s="37">
        <v>1177.999645460189</v>
      </c>
      <c r="AQ41" s="37">
        <v>302.83735885464063</v>
      </c>
      <c r="AR41" s="37">
        <v>875.16228660554907</v>
      </c>
      <c r="AS41" s="37">
        <v>281.81510415360367</v>
      </c>
      <c r="AT41" s="37">
        <v>593.34718245194449</v>
      </c>
      <c r="AU41" s="37">
        <v>269.10685601781279</v>
      </c>
      <c r="AV41" s="37">
        <v>324.24032643413182</v>
      </c>
    </row>
    <row r="42" spans="1:48" x14ac:dyDescent="0.2">
      <c r="A42" s="11"/>
      <c r="C42" s="41"/>
      <c r="E42" s="13"/>
      <c r="F42" s="13"/>
      <c r="G42" s="54"/>
      <c r="H42" s="43"/>
      <c r="I42" s="13"/>
      <c r="J42" s="13"/>
      <c r="K42" s="54"/>
      <c r="L42" s="43"/>
      <c r="M42" s="13"/>
      <c r="N42" s="13"/>
      <c r="O42" s="54"/>
      <c r="P42" s="43"/>
      <c r="Q42" s="13"/>
      <c r="R42" s="54"/>
      <c r="S42" s="43"/>
      <c r="T42" s="13"/>
      <c r="U42" s="13"/>
      <c r="V42" s="13"/>
      <c r="W42" s="13"/>
      <c r="X42" s="13"/>
      <c r="Y42" s="43"/>
      <c r="Z42" s="13"/>
      <c r="AA42" s="13"/>
      <c r="AB42" s="13"/>
      <c r="AC42" s="13"/>
      <c r="AD42" s="13"/>
      <c r="AE42" s="13"/>
      <c r="AF42" s="13"/>
      <c r="AH42" s="13"/>
      <c r="AI42" s="13"/>
      <c r="AJ42" s="13"/>
      <c r="AK42" s="13"/>
      <c r="AL42" s="13"/>
      <c r="AM42" s="13"/>
      <c r="AN42" s="13"/>
      <c r="AP42" s="13"/>
      <c r="AQ42" s="13"/>
      <c r="AR42" s="13"/>
      <c r="AS42" s="13"/>
      <c r="AT42" s="13"/>
      <c r="AU42" s="13"/>
      <c r="AV42" s="13"/>
    </row>
    <row r="43" spans="1:48" x14ac:dyDescent="0.2">
      <c r="A43" s="11"/>
      <c r="C43" s="41"/>
      <c r="E43" s="13"/>
      <c r="F43" s="13"/>
      <c r="G43" s="54"/>
      <c r="H43" s="43"/>
      <c r="I43" s="13"/>
      <c r="J43" s="13"/>
      <c r="K43" s="54"/>
      <c r="L43" s="43"/>
      <c r="M43" s="13"/>
      <c r="N43" s="13"/>
      <c r="O43" s="54"/>
      <c r="P43" s="43"/>
      <c r="Q43" s="13"/>
      <c r="R43" s="54"/>
      <c r="S43" s="43"/>
      <c r="T43" s="13"/>
      <c r="U43" s="13"/>
      <c r="V43" s="13"/>
      <c r="W43" s="13"/>
      <c r="X43" s="13"/>
      <c r="Y43" s="43"/>
      <c r="Z43" s="13"/>
      <c r="AA43" s="13"/>
      <c r="AB43" s="13"/>
      <c r="AC43" s="13"/>
      <c r="AD43" s="13"/>
      <c r="AE43" s="13"/>
      <c r="AF43" s="13"/>
      <c r="AH43" s="13"/>
      <c r="AI43" s="13"/>
      <c r="AJ43" s="13"/>
      <c r="AK43" s="13"/>
      <c r="AL43" s="13"/>
      <c r="AM43" s="13"/>
      <c r="AN43" s="13"/>
      <c r="AP43" s="13"/>
      <c r="AQ43" s="13"/>
      <c r="AR43" s="13"/>
      <c r="AS43" s="13"/>
      <c r="AT43" s="13"/>
      <c r="AU43" s="13"/>
      <c r="AV43" s="13"/>
    </row>
    <row r="44" spans="1:48" ht="12" x14ac:dyDescent="0.25">
      <c r="A44" s="11"/>
      <c r="C44" s="39" t="s">
        <v>76</v>
      </c>
      <c r="E44" s="40"/>
      <c r="F44" s="40"/>
      <c r="G44" s="55"/>
      <c r="H44" s="44"/>
      <c r="I44" s="40"/>
      <c r="J44" s="40"/>
      <c r="K44" s="55"/>
      <c r="L44" s="44"/>
      <c r="M44" s="40"/>
      <c r="N44" s="40"/>
      <c r="O44" s="55"/>
      <c r="P44" s="44"/>
      <c r="Q44" s="368"/>
      <c r="R44" s="55"/>
      <c r="S44" s="44"/>
      <c r="T44" s="40"/>
      <c r="U44" s="40"/>
      <c r="V44" s="40"/>
      <c r="W44" s="40"/>
      <c r="X44" s="40"/>
      <c r="Y44" s="44"/>
      <c r="Z44" s="40"/>
      <c r="AA44" s="40"/>
      <c r="AB44" s="40"/>
      <c r="AC44" s="40"/>
      <c r="AD44" s="40"/>
      <c r="AE44" s="40"/>
      <c r="AF44" s="40"/>
      <c r="AH44" s="40"/>
      <c r="AI44" s="40"/>
      <c r="AJ44" s="40"/>
      <c r="AK44" s="40"/>
      <c r="AL44" s="40"/>
      <c r="AM44" s="40"/>
      <c r="AN44" s="40"/>
      <c r="AP44" s="40"/>
      <c r="AQ44" s="40"/>
      <c r="AR44" s="40"/>
      <c r="AS44" s="40"/>
      <c r="AT44" s="40"/>
      <c r="AU44" s="40"/>
      <c r="AV44" s="40"/>
    </row>
    <row r="45" spans="1:48" x14ac:dyDescent="0.2">
      <c r="A45" s="11" t="s">
        <v>59</v>
      </c>
      <c r="B45" s="77"/>
      <c r="C45" s="84" t="s">
        <v>323</v>
      </c>
      <c r="D45" s="77"/>
      <c r="E45" s="363">
        <v>-55.005561999999998</v>
      </c>
      <c r="F45" s="363">
        <v>-65.001665610000003</v>
      </c>
      <c r="G45" s="83">
        <f t="shared" si="24"/>
        <v>-0.15378226874946699</v>
      </c>
      <c r="H45" s="80"/>
      <c r="I45" s="363">
        <v>-18.349339000000001</v>
      </c>
      <c r="J45" s="363">
        <v>-22.314612619999998</v>
      </c>
      <c r="K45" s="83">
        <f t="shared" ref="K45:K57" si="43">IF(ISERROR($E45*J45),"NM",IF($E45*J45&gt;0,IF(I45/J45&gt;2,"NM",I45/J45-1),"NM"))</f>
        <v>-0.17769851924052793</v>
      </c>
      <c r="L45" s="80"/>
      <c r="M45" s="82">
        <v>-18.349339000000001</v>
      </c>
      <c r="N45" s="82">
        <v>-22.314612619999998</v>
      </c>
      <c r="O45" s="83">
        <f t="shared" si="26"/>
        <v>-0.17769851924052793</v>
      </c>
      <c r="P45" s="80"/>
      <c r="Q45" s="363">
        <v>-18.341920519999999</v>
      </c>
      <c r="R45" s="83">
        <f t="shared" si="27"/>
        <v>4.0445492018759133E-4</v>
      </c>
      <c r="S45" s="80"/>
      <c r="T45" s="363">
        <v>-55.005561999999998</v>
      </c>
      <c r="U45" s="363">
        <v>-18.349339000000001</v>
      </c>
      <c r="V45" s="363">
        <v>-36.656222999999997</v>
      </c>
      <c r="W45" s="363">
        <v>-18.341920519999999</v>
      </c>
      <c r="X45" s="363">
        <v>-18.314302480000002</v>
      </c>
      <c r="Y45" s="80"/>
      <c r="Z45" s="363">
        <v>-87.332927460000008</v>
      </c>
      <c r="AA45" s="363">
        <v>-22.331261849999997</v>
      </c>
      <c r="AB45" s="363">
        <v>-65.001665610000003</v>
      </c>
      <c r="AC45" s="363">
        <v>-22.314612619999998</v>
      </c>
      <c r="AD45" s="363">
        <v>-42.687052989999998</v>
      </c>
      <c r="AE45" s="363">
        <v>-22.290030289999997</v>
      </c>
      <c r="AF45" s="363">
        <v>-20.397022700000001</v>
      </c>
      <c r="AH45" s="363">
        <v>-81.644042229999997</v>
      </c>
      <c r="AI45" s="363">
        <v>-20.403715809999994</v>
      </c>
      <c r="AJ45" s="363">
        <v>-61.240326420000009</v>
      </c>
      <c r="AK45" s="363">
        <v>-20.410839090000003</v>
      </c>
      <c r="AL45" s="363">
        <v>-40.829487330000006</v>
      </c>
      <c r="AM45" s="363">
        <v>-20.414383130000001</v>
      </c>
      <c r="AN45" s="363">
        <v>-20.415104200000002</v>
      </c>
      <c r="AP45" s="363">
        <v>-81.617100449999981</v>
      </c>
      <c r="AQ45" s="363">
        <v>-20.406373839999993</v>
      </c>
      <c r="AR45" s="363">
        <v>-61.210726609999995</v>
      </c>
      <c r="AS45" s="363">
        <v>-20.404642200000001</v>
      </c>
      <c r="AT45" s="363">
        <v>-40.806084409999997</v>
      </c>
      <c r="AU45" s="363">
        <v>-20.403231089999998</v>
      </c>
      <c r="AV45" s="363">
        <v>-20.402853320000002</v>
      </c>
    </row>
    <row r="46" spans="1:48" x14ac:dyDescent="0.2">
      <c r="A46" s="11" t="s">
        <v>60</v>
      </c>
      <c r="B46" s="77"/>
      <c r="C46" s="84" t="s">
        <v>313</v>
      </c>
      <c r="D46" s="77"/>
      <c r="E46" s="363">
        <v>-4.4249999999999998</v>
      </c>
      <c r="F46" s="363">
        <v>-2.8666666666666667</v>
      </c>
      <c r="G46" s="83">
        <f t="shared" si="24"/>
        <v>0.54360465116279055</v>
      </c>
      <c r="H46" s="80"/>
      <c r="I46" s="363">
        <v>-1.4749999999999999</v>
      </c>
      <c r="J46" s="363">
        <v>-1.4336666666666666</v>
      </c>
      <c r="K46" s="83">
        <f t="shared" si="43"/>
        <v>2.8830504533829293E-2</v>
      </c>
      <c r="L46" s="80"/>
      <c r="M46" s="82">
        <v>-1.4749999999999999</v>
      </c>
      <c r="N46" s="82">
        <v>-1.4336666666666666</v>
      </c>
      <c r="O46" s="83">
        <f t="shared" si="26"/>
        <v>2.8830504533829293E-2</v>
      </c>
      <c r="P46" s="80"/>
      <c r="Q46" s="363">
        <v>-1.4749997699999999</v>
      </c>
      <c r="R46" s="83">
        <f t="shared" si="27"/>
        <v>1.5593222757459557E-7</v>
      </c>
      <c r="S46" s="80"/>
      <c r="T46" s="363">
        <v>-4.4249999999999998</v>
      </c>
      <c r="U46" s="363">
        <v>-1.4749999999999999</v>
      </c>
      <c r="V46" s="363">
        <v>-2.95</v>
      </c>
      <c r="W46" s="363">
        <v>-1.4749997699999999</v>
      </c>
      <c r="X46" s="363">
        <v>-1.47500023</v>
      </c>
      <c r="Y46" s="80"/>
      <c r="Z46" s="363">
        <v>-4.3</v>
      </c>
      <c r="AA46" s="363">
        <v>-1.4333333333333331</v>
      </c>
      <c r="AB46" s="363">
        <v>-2.8666666666666667</v>
      </c>
      <c r="AC46" s="363">
        <v>-1.4336666666666666</v>
      </c>
      <c r="AD46" s="363">
        <v>-1.4330000000000001</v>
      </c>
      <c r="AE46" s="363">
        <v>-1.4330000000000001</v>
      </c>
      <c r="AF46" s="363">
        <v>0</v>
      </c>
      <c r="AH46" s="363">
        <v>0</v>
      </c>
      <c r="AI46" s="363">
        <v>0</v>
      </c>
      <c r="AJ46" s="363">
        <v>0</v>
      </c>
      <c r="AK46" s="363">
        <v>0</v>
      </c>
      <c r="AL46" s="363">
        <v>0</v>
      </c>
      <c r="AM46" s="363">
        <v>0</v>
      </c>
      <c r="AN46" s="363">
        <v>0</v>
      </c>
      <c r="AP46" s="363">
        <v>0</v>
      </c>
      <c r="AQ46" s="363">
        <v>0</v>
      </c>
      <c r="AR46" s="363">
        <v>0</v>
      </c>
      <c r="AS46" s="363">
        <v>0</v>
      </c>
      <c r="AT46" s="363">
        <v>0</v>
      </c>
      <c r="AU46" s="363">
        <v>0</v>
      </c>
      <c r="AV46" s="363">
        <v>0</v>
      </c>
    </row>
    <row r="47" spans="1:48" ht="12" x14ac:dyDescent="0.25">
      <c r="A47" s="11" t="s">
        <v>61</v>
      </c>
      <c r="B47" s="34"/>
      <c r="C47" s="127" t="s">
        <v>103</v>
      </c>
      <c r="D47" s="77"/>
      <c r="E47" s="364">
        <v>16.806423910000003</v>
      </c>
      <c r="F47" s="364">
        <v>18.671903204910002</v>
      </c>
      <c r="G47" s="130">
        <f t="shared" si="24"/>
        <v>-9.9908363621949881E-2</v>
      </c>
      <c r="H47" s="80"/>
      <c r="I47" s="364">
        <v>5.6047576300000017</v>
      </c>
      <c r="J47" s="364">
        <v>6.3939799749699997</v>
      </c>
      <c r="K47" s="130">
        <f t="shared" si="43"/>
        <v>-0.12343209519884379</v>
      </c>
      <c r="L47" s="80"/>
      <c r="M47" s="129">
        <v>5.6047576300000017</v>
      </c>
      <c r="N47" s="129">
        <v>6.3939799749699997</v>
      </c>
      <c r="O47" s="130">
        <f t="shared" si="26"/>
        <v>-0.12343209519884379</v>
      </c>
      <c r="P47" s="80"/>
      <c r="Q47" s="364">
        <v>5.0139492199999998</v>
      </c>
      <c r="R47" s="130">
        <f t="shared" si="27"/>
        <v>0.11783294646131304</v>
      </c>
      <c r="S47" s="80"/>
      <c r="T47" s="364">
        <v>16.806423910000003</v>
      </c>
      <c r="U47" s="364">
        <v>5.6047576300000017</v>
      </c>
      <c r="V47" s="364">
        <v>11.201666280000001</v>
      </c>
      <c r="W47" s="364">
        <v>5.0139492199999998</v>
      </c>
      <c r="X47" s="364">
        <v>6.1877170600000007</v>
      </c>
      <c r="Y47" s="80"/>
      <c r="Z47" s="364">
        <v>25.12596837988</v>
      </c>
      <c r="AA47" s="364">
        <v>6.4540651749700002</v>
      </c>
      <c r="AB47" s="364">
        <v>18.671903204910002</v>
      </c>
      <c r="AC47" s="364">
        <v>6.3939799749699997</v>
      </c>
      <c r="AD47" s="364">
        <v>12.277923229940001</v>
      </c>
      <c r="AE47" s="364">
        <v>6.5753514449699999</v>
      </c>
      <c r="AF47" s="364">
        <v>5.7025717849699999</v>
      </c>
      <c r="AH47" s="364">
        <v>22.883539860000003</v>
      </c>
      <c r="AI47" s="364">
        <v>5.7190625475000019</v>
      </c>
      <c r="AJ47" s="364">
        <v>17.164477312500001</v>
      </c>
      <c r="AK47" s="364">
        <v>5.6890777774999997</v>
      </c>
      <c r="AL47" s="364">
        <v>11.475399535000001</v>
      </c>
      <c r="AM47" s="364">
        <v>5.7531312574999998</v>
      </c>
      <c r="AN47" s="364">
        <v>5.7222682775000004</v>
      </c>
      <c r="AP47" s="364">
        <v>22.940421350000001</v>
      </c>
      <c r="AQ47" s="364">
        <v>5.7355685975000013</v>
      </c>
      <c r="AR47" s="364">
        <v>17.204852752500003</v>
      </c>
      <c r="AS47" s="364">
        <v>5.7340902674999992</v>
      </c>
      <c r="AT47" s="364">
        <v>11.470762485000002</v>
      </c>
      <c r="AU47" s="364">
        <v>5.7358221275000005</v>
      </c>
      <c r="AV47" s="364">
        <v>5.7349403575000002</v>
      </c>
    </row>
    <row r="48" spans="1:48" ht="12" x14ac:dyDescent="0.25">
      <c r="A48" s="11" t="s">
        <v>62</v>
      </c>
      <c r="C48" s="18" t="s">
        <v>104</v>
      </c>
      <c r="E48" s="365">
        <v>-42.624138089999988</v>
      </c>
      <c r="F48" s="365">
        <v>-49.196429071756661</v>
      </c>
      <c r="G48" s="26">
        <f t="shared" si="24"/>
        <v>-0.13359284618341905</v>
      </c>
      <c r="H48" s="47"/>
      <c r="I48" s="365">
        <v>-14.21958137</v>
      </c>
      <c r="J48" s="365">
        <v>-17.354299311696664</v>
      </c>
      <c r="K48" s="26">
        <f t="shared" si="43"/>
        <v>-0.18063062561009813</v>
      </c>
      <c r="L48" s="47"/>
      <c r="M48" s="25">
        <v>-14.21958137</v>
      </c>
      <c r="N48" s="25">
        <v>-17.354299311696664</v>
      </c>
      <c r="O48" s="26">
        <f t="shared" si="26"/>
        <v>-0.18063062561009813</v>
      </c>
      <c r="P48" s="47"/>
      <c r="Q48" s="365">
        <v>-14.802971069999998</v>
      </c>
      <c r="R48" s="26">
        <f t="shared" si="27"/>
        <v>-3.9410311432838463E-2</v>
      </c>
      <c r="S48" s="47"/>
      <c r="T48" s="365">
        <v>-42.624138089999988</v>
      </c>
      <c r="U48" s="365">
        <v>-14.21958137</v>
      </c>
      <c r="V48" s="365">
        <v>-28.404556719999999</v>
      </c>
      <c r="W48" s="365">
        <v>-14.802971069999998</v>
      </c>
      <c r="X48" s="365">
        <v>-14.20158565</v>
      </c>
      <c r="Y48" s="47"/>
      <c r="Z48" s="365">
        <v>-66.506959080119998</v>
      </c>
      <c r="AA48" s="365">
        <v>-17.31053000836333</v>
      </c>
      <c r="AB48" s="365">
        <v>-49.196429071756661</v>
      </c>
      <c r="AC48" s="365">
        <v>-17.354299311696664</v>
      </c>
      <c r="AD48" s="365">
        <v>-31.842129760059997</v>
      </c>
      <c r="AE48" s="365">
        <v>-17.147678845029997</v>
      </c>
      <c r="AF48" s="365">
        <v>-14.69445091503</v>
      </c>
      <c r="AH48" s="365">
        <v>-58.760502369999998</v>
      </c>
      <c r="AI48" s="365">
        <v>-14.684653262499992</v>
      </c>
      <c r="AJ48" s="365">
        <v>-44.075849107500005</v>
      </c>
      <c r="AK48" s="365">
        <v>-14.721761312500004</v>
      </c>
      <c r="AL48" s="365">
        <v>-29.354087795000005</v>
      </c>
      <c r="AM48" s="365">
        <v>-14.661251872500001</v>
      </c>
      <c r="AN48" s="365">
        <v>-14.692835922500002</v>
      </c>
      <c r="AP48" s="365">
        <v>-58.67667909999998</v>
      </c>
      <c r="AQ48" s="365">
        <v>-14.670805242499991</v>
      </c>
      <c r="AR48" s="365">
        <v>-44.005873857499992</v>
      </c>
      <c r="AS48" s="365">
        <v>-14.670551932500002</v>
      </c>
      <c r="AT48" s="365">
        <v>-29.335321924999995</v>
      </c>
      <c r="AU48" s="365">
        <v>-14.667408962499998</v>
      </c>
      <c r="AV48" s="365">
        <v>-14.667912962500001</v>
      </c>
    </row>
    <row r="49" spans="1:48" x14ac:dyDescent="0.2">
      <c r="A49" s="11" t="s">
        <v>63</v>
      </c>
      <c r="B49" s="77"/>
      <c r="C49" s="84" t="s">
        <v>324</v>
      </c>
      <c r="D49" s="77"/>
      <c r="E49" s="363">
        <v>-87.457450890000018</v>
      </c>
      <c r="F49" s="363">
        <v>0</v>
      </c>
      <c r="G49" s="83" t="str">
        <f t="shared" si="24"/>
        <v>NM</v>
      </c>
      <c r="H49" s="80"/>
      <c r="I49" s="363">
        <v>-80.499186860000023</v>
      </c>
      <c r="J49" s="363">
        <v>0</v>
      </c>
      <c r="K49" s="83" t="str">
        <f t="shared" si="43"/>
        <v>NM</v>
      </c>
      <c r="L49" s="80"/>
      <c r="M49" s="82">
        <v>-80.499186860000023</v>
      </c>
      <c r="N49" s="82">
        <v>0</v>
      </c>
      <c r="O49" s="83" t="str">
        <f t="shared" si="26"/>
        <v>NM</v>
      </c>
      <c r="P49" s="80"/>
      <c r="Q49" s="363">
        <v>0</v>
      </c>
      <c r="R49" s="83" t="str">
        <f t="shared" si="27"/>
        <v>NM</v>
      </c>
      <c r="S49" s="80"/>
      <c r="T49" s="363">
        <v>-87.457450890000018</v>
      </c>
      <c r="U49" s="363">
        <v>-80.499186860000023</v>
      </c>
      <c r="V49" s="363">
        <v>-6.9582640300000005</v>
      </c>
      <c r="W49" s="363">
        <v>0</v>
      </c>
      <c r="X49" s="363">
        <v>-6.9582640299999996</v>
      </c>
      <c r="Y49" s="80"/>
      <c r="Z49" s="363">
        <v>-13.048605825221724</v>
      </c>
      <c r="AA49" s="363">
        <v>-13.048605825221724</v>
      </c>
      <c r="AB49" s="363">
        <v>0</v>
      </c>
      <c r="AC49" s="363">
        <v>0</v>
      </c>
      <c r="AD49" s="363">
        <v>0</v>
      </c>
      <c r="AE49" s="363">
        <v>0</v>
      </c>
      <c r="AF49" s="363">
        <v>0</v>
      </c>
      <c r="AH49" s="363">
        <v>0</v>
      </c>
      <c r="AI49" s="363">
        <v>0</v>
      </c>
      <c r="AJ49" s="363">
        <v>0</v>
      </c>
      <c r="AK49" s="363">
        <v>0</v>
      </c>
      <c r="AL49" s="363">
        <v>0</v>
      </c>
      <c r="AM49" s="363">
        <v>0</v>
      </c>
      <c r="AN49" s="363">
        <v>0</v>
      </c>
      <c r="AP49" s="363">
        <v>-61.533791837815727</v>
      </c>
      <c r="AQ49" s="363">
        <v>-2.2986159500000038</v>
      </c>
      <c r="AR49" s="363">
        <v>-59.235175887815714</v>
      </c>
      <c r="AS49" s="363">
        <v>-8.672835767815716</v>
      </c>
      <c r="AT49" s="363">
        <v>-50.562340120000002</v>
      </c>
      <c r="AU49" s="363">
        <v>-40.397760760000004</v>
      </c>
      <c r="AV49" s="363">
        <v>-10.164579359999998</v>
      </c>
    </row>
    <row r="50" spans="1:48" x14ac:dyDescent="0.2">
      <c r="A50" s="235" t="s">
        <v>250</v>
      </c>
      <c r="B50" s="77"/>
      <c r="C50" s="84" t="s">
        <v>325</v>
      </c>
      <c r="D50" s="77"/>
      <c r="E50" s="363">
        <v>-5.3649999999999993</v>
      </c>
      <c r="F50" s="363">
        <v>0</v>
      </c>
      <c r="G50" s="83" t="str">
        <f t="shared" ref="G50" si="44">IF(ISERROR($E50*F50),"NM",IF($E50*F50&gt;0,IF(E50/F50&gt;2,"NM",E50/F50-1),"NM"))</f>
        <v>NM</v>
      </c>
      <c r="H50" s="80"/>
      <c r="I50" s="363">
        <v>-1.788</v>
      </c>
      <c r="J50" s="363">
        <v>0</v>
      </c>
      <c r="K50" s="83" t="str">
        <f t="shared" si="43"/>
        <v>NM</v>
      </c>
      <c r="L50" s="80"/>
      <c r="M50" s="82">
        <v>-1.788</v>
      </c>
      <c r="N50" s="82">
        <v>0</v>
      </c>
      <c r="O50" s="83" t="str">
        <f t="shared" ref="O50" si="45">IF(ISERROR($M50*N50),"NM",IF($M50*N50&gt;0,IF(M50/N50&gt;2,"NM",M50/N50-1),"NM"))</f>
        <v>NM</v>
      </c>
      <c r="P50" s="80"/>
      <c r="Q50" s="363">
        <v>-1.7889999999999997</v>
      </c>
      <c r="R50" s="83">
        <f t="shared" ref="R50" si="46">IF(ISERROR($M50*Q50),"NM",IF($M50*Q50&gt;0,IF(M50/Q50&gt;2,"NM",M50/Q50-1),"NM"))</f>
        <v>-5.5897149245365263E-4</v>
      </c>
      <c r="S50" s="80"/>
      <c r="T50" s="363">
        <v>-5.3649999999999993</v>
      </c>
      <c r="U50" s="363">
        <v>-1.788</v>
      </c>
      <c r="V50" s="363">
        <v>-3.5769999999999995</v>
      </c>
      <c r="W50" s="363">
        <v>-1.7889999999999997</v>
      </c>
      <c r="X50" s="363">
        <v>-1.7879999999999998</v>
      </c>
      <c r="Y50" s="80"/>
      <c r="Z50" s="363">
        <v>-1.1922333333333333</v>
      </c>
      <c r="AA50" s="363">
        <v>-1.1922333333333333</v>
      </c>
      <c r="AB50" s="363">
        <v>0</v>
      </c>
      <c r="AC50" s="363">
        <v>0</v>
      </c>
      <c r="AD50" s="363">
        <v>0</v>
      </c>
      <c r="AE50" s="363">
        <v>0</v>
      </c>
      <c r="AF50" s="363">
        <v>0</v>
      </c>
      <c r="AH50" s="363">
        <v>0</v>
      </c>
      <c r="AI50" s="363">
        <v>0</v>
      </c>
      <c r="AJ50" s="363">
        <v>0</v>
      </c>
      <c r="AK50" s="363">
        <v>0</v>
      </c>
      <c r="AL50" s="363">
        <v>0</v>
      </c>
      <c r="AM50" s="363">
        <v>0</v>
      </c>
      <c r="AN50" s="363">
        <v>0</v>
      </c>
      <c r="AP50" s="363">
        <v>0</v>
      </c>
      <c r="AQ50" s="363">
        <v>0</v>
      </c>
      <c r="AR50" s="363">
        <v>0</v>
      </c>
      <c r="AS50" s="363">
        <v>0</v>
      </c>
      <c r="AT50" s="363">
        <v>0</v>
      </c>
      <c r="AU50" s="363">
        <v>0</v>
      </c>
      <c r="AV50" s="363">
        <v>0</v>
      </c>
    </row>
    <row r="51" spans="1:48" ht="12" x14ac:dyDescent="0.25">
      <c r="A51" s="11" t="s">
        <v>64</v>
      </c>
      <c r="B51" s="34"/>
      <c r="C51" s="127" t="s">
        <v>326</v>
      </c>
      <c r="D51" s="77"/>
      <c r="E51" s="364">
        <v>23.995797160000002</v>
      </c>
      <c r="F51" s="364">
        <v>0</v>
      </c>
      <c r="G51" s="130" t="str">
        <f t="shared" si="24"/>
        <v>NM</v>
      </c>
      <c r="H51" s="80"/>
      <c r="I51" s="364">
        <v>20.955294660000003</v>
      </c>
      <c r="J51" s="364">
        <v>0</v>
      </c>
      <c r="K51" s="130" t="str">
        <f t="shared" si="43"/>
        <v>NM</v>
      </c>
      <c r="L51" s="80"/>
      <c r="M51" s="129">
        <v>20.955294660000003</v>
      </c>
      <c r="N51" s="129">
        <v>0</v>
      </c>
      <c r="O51" s="130" t="str">
        <f t="shared" si="26"/>
        <v>NM</v>
      </c>
      <c r="P51" s="80"/>
      <c r="Q51" s="364">
        <v>1.1799998</v>
      </c>
      <c r="R51" s="130" t="str">
        <f t="shared" si="27"/>
        <v>NM</v>
      </c>
      <c r="S51" s="80"/>
      <c r="T51" s="364">
        <v>23.995797160000002</v>
      </c>
      <c r="U51" s="364">
        <v>20.955294660000003</v>
      </c>
      <c r="V51" s="364">
        <v>3.0405024999999997</v>
      </c>
      <c r="W51" s="364">
        <v>1.1799998</v>
      </c>
      <c r="X51" s="364">
        <v>1.8605026999999998</v>
      </c>
      <c r="Y51" s="80"/>
      <c r="Z51" s="364">
        <v>3.6240141756582323</v>
      </c>
      <c r="AA51" s="364">
        <v>3.6240141756582323</v>
      </c>
      <c r="AB51" s="364">
        <v>0</v>
      </c>
      <c r="AC51" s="364">
        <v>0</v>
      </c>
      <c r="AD51" s="364">
        <v>0</v>
      </c>
      <c r="AE51" s="364">
        <v>0</v>
      </c>
      <c r="AF51" s="364">
        <v>0</v>
      </c>
      <c r="AH51" s="364">
        <v>0</v>
      </c>
      <c r="AI51" s="364">
        <v>0</v>
      </c>
      <c r="AJ51" s="364">
        <v>0</v>
      </c>
      <c r="AK51" s="364">
        <v>0</v>
      </c>
      <c r="AL51" s="364">
        <v>0</v>
      </c>
      <c r="AM51" s="364">
        <v>0</v>
      </c>
      <c r="AN51" s="364">
        <v>0</v>
      </c>
      <c r="AP51" s="364">
        <v>15.924945327626705</v>
      </c>
      <c r="AQ51" s="364">
        <v>0.59488180786000111</v>
      </c>
      <c r="AR51" s="364">
        <v>15.330063519766705</v>
      </c>
      <c r="AS51" s="364">
        <v>2.244529896710707</v>
      </c>
      <c r="AT51" s="364">
        <v>13.085533623055998</v>
      </c>
      <c r="AU51" s="364">
        <v>10.454940484687999</v>
      </c>
      <c r="AV51" s="364">
        <v>2.6305931383679999</v>
      </c>
    </row>
    <row r="52" spans="1:48" ht="12" x14ac:dyDescent="0.25">
      <c r="A52" s="11" t="s">
        <v>65</v>
      </c>
      <c r="C52" s="18" t="s">
        <v>327</v>
      </c>
      <c r="E52" s="365">
        <v>-68.826653730000004</v>
      </c>
      <c r="F52" s="365">
        <v>0</v>
      </c>
      <c r="G52" s="26" t="str">
        <f t="shared" si="24"/>
        <v>NM</v>
      </c>
      <c r="H52" s="47"/>
      <c r="I52" s="365">
        <v>-61.331892200000013</v>
      </c>
      <c r="J52" s="365">
        <v>0</v>
      </c>
      <c r="K52" s="26" t="str">
        <f t="shared" si="43"/>
        <v>NM</v>
      </c>
      <c r="L52" s="47"/>
      <c r="M52" s="25">
        <v>-61.331892200000013</v>
      </c>
      <c r="N52" s="25">
        <v>0</v>
      </c>
      <c r="O52" s="26" t="str">
        <f t="shared" si="26"/>
        <v>NM</v>
      </c>
      <c r="P52" s="47"/>
      <c r="Q52" s="365">
        <v>-0.60900019999999966</v>
      </c>
      <c r="R52" s="26" t="str">
        <f t="shared" si="27"/>
        <v>NM</v>
      </c>
      <c r="S52" s="47"/>
      <c r="T52" s="365">
        <v>-68.826653730000004</v>
      </c>
      <c r="U52" s="365">
        <v>-61.331892200000013</v>
      </c>
      <c r="V52" s="365">
        <v>-7.4947615300000008</v>
      </c>
      <c r="W52" s="365">
        <v>-0.60900019999999966</v>
      </c>
      <c r="X52" s="365">
        <v>-6.2857613300000015</v>
      </c>
      <c r="Y52" s="47"/>
      <c r="Z52" s="365">
        <v>-10.616824982896826</v>
      </c>
      <c r="AA52" s="365">
        <v>-10.616824982896826</v>
      </c>
      <c r="AB52" s="365">
        <v>0</v>
      </c>
      <c r="AC52" s="365">
        <v>0</v>
      </c>
      <c r="AD52" s="365">
        <v>0</v>
      </c>
      <c r="AE52" s="365">
        <v>0</v>
      </c>
      <c r="AF52" s="365">
        <v>0</v>
      </c>
      <c r="AH52" s="365">
        <v>0</v>
      </c>
      <c r="AI52" s="365">
        <v>0</v>
      </c>
      <c r="AJ52" s="365">
        <v>0</v>
      </c>
      <c r="AK52" s="365">
        <v>0</v>
      </c>
      <c r="AL52" s="365">
        <v>0</v>
      </c>
      <c r="AM52" s="365">
        <v>0</v>
      </c>
      <c r="AN52" s="365">
        <v>0</v>
      </c>
      <c r="AP52" s="365">
        <v>-45.608846510189025</v>
      </c>
      <c r="AQ52" s="365">
        <v>-1.7037341421400027</v>
      </c>
      <c r="AR52" s="365">
        <v>-43.905112368049011</v>
      </c>
      <c r="AS52" s="365">
        <v>-6.4283058711050085</v>
      </c>
      <c r="AT52" s="365">
        <v>-37.476806496944008</v>
      </c>
      <c r="AU52" s="365">
        <v>-29.942820275312005</v>
      </c>
      <c r="AV52" s="365">
        <v>-7.5339862216319977</v>
      </c>
    </row>
    <row r="53" spans="1:48" ht="12" x14ac:dyDescent="0.25">
      <c r="A53" s="12" t="s">
        <v>272</v>
      </c>
      <c r="C53" s="18" t="s">
        <v>273</v>
      </c>
      <c r="E53" s="365">
        <v>-22.122053190000003</v>
      </c>
      <c r="F53" s="365">
        <v>0</v>
      </c>
      <c r="G53" s="26" t="str">
        <f t="shared" ref="G53:G54" si="47">IF(ISERROR($E53*F53),"NM",IF($E53*F53&gt;0,IF(E53/F53&gt;2,"NM",E53/F53-1),"NM"))</f>
        <v>NM</v>
      </c>
      <c r="H53" s="47"/>
      <c r="I53" s="365">
        <v>-15.47952712</v>
      </c>
      <c r="J53" s="365">
        <v>0</v>
      </c>
      <c r="K53" s="26" t="str">
        <f t="shared" ref="K53:K54" si="48">IF(ISERROR($E53*J53),"NM",IF($E53*J53&gt;0,IF(I53/J53&gt;2,"NM",I53/J53-1),"NM"))</f>
        <v>NM</v>
      </c>
      <c r="L53" s="47"/>
      <c r="M53" s="25">
        <v>-15.47952712</v>
      </c>
      <c r="N53" s="25">
        <v>0</v>
      </c>
      <c r="O53" s="26" t="str">
        <f t="shared" ref="O53:O54" si="49">IF(ISERROR($M53*N53),"NM",IF($M53*N53&gt;0,IF(M53/N53&gt;2,"NM",M53/N53-1),"NM"))</f>
        <v>NM</v>
      </c>
      <c r="P53" s="47"/>
      <c r="Q53" s="365">
        <v>-6.6425260700000024</v>
      </c>
      <c r="R53" s="26" t="str">
        <f t="shared" ref="R53:R54" si="50">IF(ISERROR($M53*Q53),"NM",IF($M53*Q53&gt;0,IF(M53/Q53&gt;2,"NM",M53/Q53-1),"NM"))</f>
        <v>NM</v>
      </c>
      <c r="S53" s="47"/>
      <c r="T53" s="365">
        <v>-22.122053190000003</v>
      </c>
      <c r="U53" s="365">
        <v>-15.47952712</v>
      </c>
      <c r="V53" s="365">
        <v>-6.6425260700000024</v>
      </c>
      <c r="W53" s="365">
        <v>-6.6425260700000024</v>
      </c>
      <c r="X53" s="365">
        <v>0</v>
      </c>
      <c r="Y53" s="47"/>
      <c r="Z53" s="365">
        <v>0</v>
      </c>
      <c r="AA53" s="365">
        <v>0</v>
      </c>
      <c r="AB53" s="365">
        <v>0</v>
      </c>
      <c r="AC53" s="365">
        <v>0</v>
      </c>
      <c r="AD53" s="365">
        <v>0</v>
      </c>
      <c r="AE53" s="365">
        <v>0</v>
      </c>
      <c r="AF53" s="365">
        <v>0</v>
      </c>
      <c r="AH53" s="365"/>
      <c r="AI53" s="365"/>
      <c r="AJ53" s="365"/>
      <c r="AK53" s="365"/>
      <c r="AL53" s="365"/>
      <c r="AM53" s="365"/>
      <c r="AN53" s="365"/>
      <c r="AP53" s="365"/>
      <c r="AQ53" s="365"/>
      <c r="AR53" s="365"/>
      <c r="AS53" s="365"/>
      <c r="AT53" s="365"/>
      <c r="AU53" s="365"/>
      <c r="AV53" s="365"/>
    </row>
    <row r="54" spans="1:48" ht="12" customHeight="1" x14ac:dyDescent="0.2">
      <c r="A54" s="235" t="s">
        <v>274</v>
      </c>
      <c r="B54" s="77"/>
      <c r="C54" s="84" t="s">
        <v>275</v>
      </c>
      <c r="D54" s="77"/>
      <c r="E54" s="363">
        <v>402.05927361999994</v>
      </c>
      <c r="F54" s="363">
        <v>0</v>
      </c>
      <c r="G54" s="83" t="str">
        <f t="shared" si="47"/>
        <v>NM</v>
      </c>
      <c r="H54" s="80"/>
      <c r="I54" s="363">
        <v>-0.32372600000000001</v>
      </c>
      <c r="J54" s="363">
        <v>0</v>
      </c>
      <c r="K54" s="83" t="str">
        <f t="shared" si="48"/>
        <v>NM</v>
      </c>
      <c r="L54" s="80"/>
      <c r="M54" s="82">
        <v>-0.32372600000000001</v>
      </c>
      <c r="N54" s="82">
        <v>0</v>
      </c>
      <c r="O54" s="83" t="str">
        <f t="shared" si="49"/>
        <v>NM</v>
      </c>
      <c r="P54" s="80"/>
      <c r="Q54" s="363">
        <v>402.38299961999996</v>
      </c>
      <c r="R54" s="83" t="str">
        <f t="shared" si="50"/>
        <v>NM</v>
      </c>
      <c r="S54" s="80"/>
      <c r="T54" s="363">
        <v>402.05927361999994</v>
      </c>
      <c r="U54" s="363">
        <v>-0.32372600000000001</v>
      </c>
      <c r="V54" s="363">
        <v>402.38299961999996</v>
      </c>
      <c r="W54" s="363">
        <v>402.38299961999996</v>
      </c>
      <c r="X54" s="363">
        <v>0</v>
      </c>
      <c r="Y54" s="80"/>
      <c r="Z54" s="363">
        <v>0</v>
      </c>
      <c r="AA54" s="363">
        <v>0</v>
      </c>
      <c r="AB54" s="363">
        <v>0</v>
      </c>
      <c r="AC54" s="363">
        <v>0</v>
      </c>
      <c r="AD54" s="363">
        <v>0</v>
      </c>
      <c r="AE54" s="363">
        <v>0</v>
      </c>
      <c r="AF54" s="363">
        <v>0</v>
      </c>
      <c r="AH54" s="363">
        <v>0</v>
      </c>
      <c r="AI54" s="363">
        <v>0</v>
      </c>
      <c r="AJ54" s="363">
        <v>0</v>
      </c>
      <c r="AK54" s="363">
        <v>0</v>
      </c>
      <c r="AL54" s="363">
        <v>0</v>
      </c>
      <c r="AM54" s="363">
        <v>0</v>
      </c>
      <c r="AN54" s="363">
        <v>0</v>
      </c>
      <c r="AP54" s="363">
        <v>0</v>
      </c>
      <c r="AQ54" s="363">
        <v>0</v>
      </c>
      <c r="AR54" s="363">
        <v>0</v>
      </c>
      <c r="AS54" s="363">
        <v>0</v>
      </c>
      <c r="AT54" s="363">
        <v>0</v>
      </c>
      <c r="AU54" s="363">
        <v>0</v>
      </c>
      <c r="AV54" s="363">
        <v>0</v>
      </c>
    </row>
    <row r="55" spans="1:48" ht="12" x14ac:dyDescent="0.25">
      <c r="A55" s="12" t="s">
        <v>66</v>
      </c>
      <c r="C55" s="18" t="s">
        <v>66</v>
      </c>
      <c r="E55" s="365">
        <v>0</v>
      </c>
      <c r="F55" s="365">
        <v>0</v>
      </c>
      <c r="G55" s="26" t="str">
        <f t="shared" si="24"/>
        <v>NM</v>
      </c>
      <c r="H55" s="47"/>
      <c r="I55" s="365">
        <v>0</v>
      </c>
      <c r="J55" s="365">
        <v>0</v>
      </c>
      <c r="K55" s="26" t="str">
        <f t="shared" si="43"/>
        <v>NM</v>
      </c>
      <c r="L55" s="47"/>
      <c r="M55" s="25">
        <v>0</v>
      </c>
      <c r="N55" s="25">
        <v>0</v>
      </c>
      <c r="O55" s="26" t="str">
        <f t="shared" si="26"/>
        <v>NM</v>
      </c>
      <c r="P55" s="47"/>
      <c r="Q55" s="365">
        <v>0</v>
      </c>
      <c r="R55" s="26" t="str">
        <f t="shared" si="27"/>
        <v>NM</v>
      </c>
      <c r="S55" s="47"/>
      <c r="T55" s="365">
        <v>0</v>
      </c>
      <c r="U55" s="365">
        <v>0</v>
      </c>
      <c r="V55" s="365">
        <v>0</v>
      </c>
      <c r="W55" s="365">
        <v>0</v>
      </c>
      <c r="X55" s="365">
        <v>0</v>
      </c>
      <c r="Y55" s="47"/>
      <c r="Z55" s="365">
        <v>0</v>
      </c>
      <c r="AA55" s="365">
        <v>0</v>
      </c>
      <c r="AB55" s="365">
        <v>0</v>
      </c>
      <c r="AC55" s="365">
        <v>0</v>
      </c>
      <c r="AD55" s="365">
        <v>0</v>
      </c>
      <c r="AE55" s="365">
        <v>0</v>
      </c>
      <c r="AF55" s="365">
        <v>0</v>
      </c>
      <c r="AH55" s="365">
        <v>0</v>
      </c>
      <c r="AI55" s="365">
        <v>0</v>
      </c>
      <c r="AJ55" s="365">
        <v>0</v>
      </c>
      <c r="AK55" s="365">
        <v>0</v>
      </c>
      <c r="AL55" s="365">
        <v>0</v>
      </c>
      <c r="AM55" s="365">
        <v>0</v>
      </c>
      <c r="AN55" s="365">
        <v>0</v>
      </c>
      <c r="AP55" s="365">
        <v>0</v>
      </c>
      <c r="AQ55" s="365">
        <v>0</v>
      </c>
      <c r="AR55" s="365">
        <v>0</v>
      </c>
      <c r="AS55" s="365">
        <v>0</v>
      </c>
      <c r="AT55" s="365">
        <v>0</v>
      </c>
      <c r="AU55" s="365">
        <v>0</v>
      </c>
      <c r="AV55" s="365">
        <v>0</v>
      </c>
    </row>
    <row r="56" spans="1:48" ht="12" x14ac:dyDescent="0.25">
      <c r="A56" s="11" t="s">
        <v>67</v>
      </c>
      <c r="C56" s="27" t="s">
        <v>108</v>
      </c>
      <c r="E56" s="366">
        <v>40.802221070000002</v>
      </c>
      <c r="F56" s="366">
        <v>18.671903204910002</v>
      </c>
      <c r="G56" s="56" t="str">
        <f t="shared" si="24"/>
        <v>NM</v>
      </c>
      <c r="H56" s="49"/>
      <c r="I56" s="366">
        <v>26.560052290000005</v>
      </c>
      <c r="J56" s="366">
        <v>6.3939799749699997</v>
      </c>
      <c r="K56" s="56" t="str">
        <f t="shared" si="43"/>
        <v>NM</v>
      </c>
      <c r="L56" s="49"/>
      <c r="M56" s="28">
        <v>26.560052290000005</v>
      </c>
      <c r="N56" s="28">
        <v>6.3939799749699997</v>
      </c>
      <c r="O56" s="56" t="str">
        <f t="shared" si="26"/>
        <v>NM</v>
      </c>
      <c r="P56" s="49"/>
      <c r="Q56" s="366">
        <v>6.1939490199999998</v>
      </c>
      <c r="R56" s="56" t="str">
        <f t="shared" si="27"/>
        <v>NM</v>
      </c>
      <c r="S56" s="49"/>
      <c r="T56" s="366">
        <v>40.802221070000002</v>
      </c>
      <c r="U56" s="366">
        <v>26.560052290000005</v>
      </c>
      <c r="V56" s="366">
        <v>14.24216878</v>
      </c>
      <c r="W56" s="366">
        <v>6.1939490199999998</v>
      </c>
      <c r="X56" s="366">
        <v>8.0482197600000003</v>
      </c>
      <c r="Y56" s="49"/>
      <c r="Z56" s="366">
        <v>28.749982555538232</v>
      </c>
      <c r="AA56" s="366">
        <v>10.078079350628233</v>
      </c>
      <c r="AB56" s="366">
        <v>18.671903204910002</v>
      </c>
      <c r="AC56" s="366">
        <v>6.3939799749699997</v>
      </c>
      <c r="AD56" s="366">
        <v>12.277923229940001</v>
      </c>
      <c r="AE56" s="366">
        <v>6.5753514449699999</v>
      </c>
      <c r="AF56" s="366">
        <v>5.7025717849699999</v>
      </c>
      <c r="AH56" s="366">
        <v>22.883539860000003</v>
      </c>
      <c r="AI56" s="366">
        <v>5.7190625475000019</v>
      </c>
      <c r="AJ56" s="366">
        <v>17.164477312500001</v>
      </c>
      <c r="AK56" s="366">
        <v>5.6890777774999997</v>
      </c>
      <c r="AL56" s="366">
        <v>11.475399535000001</v>
      </c>
      <c r="AM56" s="366">
        <v>5.7531312574999998</v>
      </c>
      <c r="AN56" s="366">
        <v>5.7222682775000004</v>
      </c>
      <c r="AP56" s="366">
        <v>38.86536667762671</v>
      </c>
      <c r="AQ56" s="366">
        <v>6.3304504053600024</v>
      </c>
      <c r="AR56" s="366">
        <v>32.534916272266706</v>
      </c>
      <c r="AS56" s="366">
        <v>7.9786201642107066</v>
      </c>
      <c r="AT56" s="366">
        <v>24.556296108055999</v>
      </c>
      <c r="AU56" s="366">
        <v>16.190762612187999</v>
      </c>
      <c r="AV56" s="366">
        <v>8.3655334958680001</v>
      </c>
    </row>
    <row r="57" spans="1:48" ht="12" x14ac:dyDescent="0.25">
      <c r="A57" s="11" t="s">
        <v>68</v>
      </c>
      <c r="C57" s="32" t="s">
        <v>109</v>
      </c>
      <c r="E57" s="367">
        <v>268.48642860999996</v>
      </c>
      <c r="F57" s="367">
        <v>-49.196429071756661</v>
      </c>
      <c r="G57" s="57" t="str">
        <f t="shared" si="24"/>
        <v>NM</v>
      </c>
      <c r="H57" s="47"/>
      <c r="I57" s="367">
        <v>-91.354726690000007</v>
      </c>
      <c r="J57" s="367">
        <v>-17.354299311696664</v>
      </c>
      <c r="K57" s="57" t="str">
        <f t="shared" si="43"/>
        <v>NM</v>
      </c>
      <c r="L57" s="47"/>
      <c r="M57" s="33">
        <v>-91.354726690000007</v>
      </c>
      <c r="N57" s="33">
        <v>-17.354299311696664</v>
      </c>
      <c r="O57" s="57" t="str">
        <f t="shared" si="26"/>
        <v>NM</v>
      </c>
      <c r="P57" s="47"/>
      <c r="Q57" s="367">
        <v>380.32850227999995</v>
      </c>
      <c r="R57" s="57" t="str">
        <f t="shared" si="27"/>
        <v>NM</v>
      </c>
      <c r="S57" s="47"/>
      <c r="T57" s="367">
        <v>268.48642860999996</v>
      </c>
      <c r="U57" s="367">
        <v>-91.354726690000007</v>
      </c>
      <c r="V57" s="367">
        <v>359.84115529999997</v>
      </c>
      <c r="W57" s="367">
        <v>380.32850227999995</v>
      </c>
      <c r="X57" s="367">
        <v>-20.487346980000002</v>
      </c>
      <c r="Y57" s="47"/>
      <c r="Z57" s="367">
        <v>-77.123784063016828</v>
      </c>
      <c r="AA57" s="367">
        <v>-27.927354991260156</v>
      </c>
      <c r="AB57" s="367">
        <v>-49.196429071756661</v>
      </c>
      <c r="AC57" s="367">
        <v>-17.354299311696664</v>
      </c>
      <c r="AD57" s="367">
        <v>-31.842129760059997</v>
      </c>
      <c r="AE57" s="367">
        <v>-17.147678845029997</v>
      </c>
      <c r="AF57" s="367">
        <v>-14.69445091503</v>
      </c>
      <c r="AH57" s="367">
        <v>-58.760502369999998</v>
      </c>
      <c r="AI57" s="367">
        <v>-14.684653262499992</v>
      </c>
      <c r="AJ57" s="367">
        <v>-44.075849107500005</v>
      </c>
      <c r="AK57" s="367">
        <v>-14.721761312500004</v>
      </c>
      <c r="AL57" s="367">
        <v>-29.354087795000005</v>
      </c>
      <c r="AM57" s="367">
        <v>-14.661251872500001</v>
      </c>
      <c r="AN57" s="367">
        <v>-14.692835922500002</v>
      </c>
      <c r="AP57" s="367">
        <v>-104.28552561018901</v>
      </c>
      <c r="AQ57" s="367">
        <v>-16.374539384639995</v>
      </c>
      <c r="AR57" s="367">
        <v>-87.91098622554901</v>
      </c>
      <c r="AS57" s="367">
        <v>-21.098857803605011</v>
      </c>
      <c r="AT57" s="367">
        <v>-66.81212842194401</v>
      </c>
      <c r="AU57" s="367">
        <v>-44.610229237812007</v>
      </c>
      <c r="AV57" s="367">
        <v>-22.201899184131999</v>
      </c>
    </row>
    <row r="58" spans="1:48" hidden="1" x14ac:dyDescent="0.2">
      <c r="A58" s="11"/>
      <c r="C58" s="41"/>
      <c r="E58" s="23"/>
      <c r="F58" s="23"/>
      <c r="G58" s="16"/>
      <c r="H58" s="44"/>
      <c r="I58" s="23"/>
      <c r="J58" s="23"/>
      <c r="K58" s="16"/>
      <c r="L58" s="44"/>
      <c r="M58" s="23"/>
      <c r="N58" s="23"/>
      <c r="O58" s="16"/>
      <c r="P58" s="44"/>
      <c r="Q58" s="23"/>
      <c r="R58" s="16"/>
      <c r="S58" s="44"/>
      <c r="T58" s="23"/>
      <c r="U58" s="23"/>
      <c r="V58" s="23"/>
      <c r="W58" s="23"/>
      <c r="X58" s="23"/>
      <c r="Y58" s="44"/>
      <c r="Z58" s="23"/>
      <c r="AA58" s="23"/>
      <c r="AB58" s="23"/>
      <c r="AC58" s="23"/>
      <c r="AD58" s="23"/>
      <c r="AE58" s="23"/>
      <c r="AF58" s="23"/>
      <c r="AH58" s="23"/>
      <c r="AI58" s="23"/>
      <c r="AJ58" s="23"/>
      <c r="AK58" s="23"/>
      <c r="AL58" s="23"/>
      <c r="AM58" s="23"/>
      <c r="AN58" s="23"/>
      <c r="AP58" s="23"/>
      <c r="AQ58" s="23"/>
      <c r="AR58" s="23"/>
      <c r="AS58" s="23"/>
      <c r="AT58" s="23"/>
      <c r="AU58" s="23"/>
      <c r="AV58" s="23"/>
    </row>
    <row r="59" spans="1:48" hidden="1" x14ac:dyDescent="0.2">
      <c r="A59" s="11"/>
      <c r="C59" s="41"/>
      <c r="E59" s="23" t="b">
        <f t="shared" ref="E59:F59" si="51">E39-E40=E57</f>
        <v>1</v>
      </c>
      <c r="F59" s="23" t="b">
        <f t="shared" si="51"/>
        <v>1</v>
      </c>
      <c r="G59" s="16"/>
      <c r="H59" s="44"/>
      <c r="I59" s="23" t="b">
        <f t="shared" ref="I59" si="52">I39-I40=I57</f>
        <v>1</v>
      </c>
      <c r="J59" s="23" t="b">
        <f>J39-J40=J57</f>
        <v>0</v>
      </c>
      <c r="K59" s="16"/>
      <c r="L59" s="44"/>
      <c r="M59" s="23"/>
      <c r="N59" s="23"/>
      <c r="O59" s="16"/>
      <c r="P59" s="44"/>
      <c r="Q59" s="23" t="b">
        <f>Q39-Q40=Q57</f>
        <v>1</v>
      </c>
      <c r="R59" s="16"/>
      <c r="S59" s="44"/>
      <c r="T59" s="23" t="b">
        <f t="shared" ref="T59:X59" si="53">T39-T40=T57</f>
        <v>1</v>
      </c>
      <c r="U59" s="23" t="b">
        <f t="shared" si="53"/>
        <v>1</v>
      </c>
      <c r="V59" s="23" t="b">
        <f t="shared" si="53"/>
        <v>1</v>
      </c>
      <c r="W59" s="23" t="b">
        <f t="shared" si="53"/>
        <v>1</v>
      </c>
      <c r="X59" s="23" t="b">
        <f t="shared" si="53"/>
        <v>1</v>
      </c>
      <c r="Y59" s="44"/>
      <c r="Z59" s="23" t="b">
        <f t="shared" ref="Z59:AF59" si="54">Z39-Z40=Z57</f>
        <v>0</v>
      </c>
      <c r="AA59" s="23" t="b">
        <f t="shared" si="54"/>
        <v>0</v>
      </c>
      <c r="AB59" s="23" t="b">
        <f t="shared" si="54"/>
        <v>1</v>
      </c>
      <c r="AC59" s="23" t="b">
        <f t="shared" si="54"/>
        <v>0</v>
      </c>
      <c r="AD59" s="23" t="b">
        <f t="shared" si="54"/>
        <v>0</v>
      </c>
      <c r="AE59" s="23" t="b">
        <f t="shared" si="54"/>
        <v>1</v>
      </c>
      <c r="AF59" s="23" t="b">
        <f t="shared" si="54"/>
        <v>1</v>
      </c>
      <c r="AH59" s="23" t="b">
        <f t="shared" ref="AH59:AN59" si="55">AH39-AH40=AH57</f>
        <v>1</v>
      </c>
      <c r="AI59" s="23" t="b">
        <f t="shared" si="55"/>
        <v>1</v>
      </c>
      <c r="AJ59" s="23" t="b">
        <f t="shared" si="55"/>
        <v>0</v>
      </c>
      <c r="AK59" s="23" t="b">
        <f t="shared" si="55"/>
        <v>1</v>
      </c>
      <c r="AL59" s="23" t="b">
        <f t="shared" si="55"/>
        <v>0</v>
      </c>
      <c r="AM59" s="23" t="b">
        <f t="shared" si="55"/>
        <v>1</v>
      </c>
      <c r="AN59" s="23" t="b">
        <f t="shared" si="55"/>
        <v>1</v>
      </c>
      <c r="AP59" s="23" t="b">
        <f t="shared" ref="AP59:AV59" si="56">AP39-AP40=AP57</f>
        <v>1</v>
      </c>
      <c r="AQ59" s="23" t="b">
        <f t="shared" si="56"/>
        <v>1</v>
      </c>
      <c r="AR59" s="23" t="b">
        <f t="shared" si="56"/>
        <v>1</v>
      </c>
      <c r="AS59" s="23" t="b">
        <f t="shared" si="56"/>
        <v>1</v>
      </c>
      <c r="AT59" s="23" t="b">
        <f t="shared" si="56"/>
        <v>1</v>
      </c>
      <c r="AU59" s="23" t="b">
        <f t="shared" si="56"/>
        <v>1</v>
      </c>
      <c r="AV59" s="23" t="b">
        <f t="shared" si="56"/>
        <v>1</v>
      </c>
    </row>
    <row r="60" spans="1:48" ht="12" hidden="1" x14ac:dyDescent="0.25">
      <c r="A60" s="11"/>
      <c r="C60" s="39" t="s">
        <v>121</v>
      </c>
      <c r="E60" s="40"/>
      <c r="F60" s="40"/>
      <c r="G60" s="55"/>
      <c r="H60" s="44"/>
      <c r="I60" s="40"/>
      <c r="J60" s="40"/>
      <c r="K60" s="55"/>
      <c r="L60" s="44"/>
      <c r="M60" s="40"/>
      <c r="N60" s="40"/>
      <c r="O60" s="55"/>
      <c r="P60" s="44"/>
      <c r="Q60" s="40"/>
      <c r="R60" s="55"/>
      <c r="S60" s="44"/>
      <c r="T60" s="40"/>
      <c r="U60" s="40"/>
      <c r="V60" s="40"/>
      <c r="W60" s="40"/>
      <c r="X60" s="40"/>
      <c r="Y60" s="44"/>
      <c r="Z60" s="40"/>
      <c r="AA60" s="40"/>
      <c r="AB60" s="40"/>
      <c r="AC60" s="40"/>
      <c r="AD60" s="40"/>
      <c r="AE60" s="40"/>
      <c r="AF60" s="40"/>
      <c r="AH60" s="40"/>
      <c r="AI60" s="40"/>
      <c r="AJ60" s="40"/>
      <c r="AK60" s="40"/>
      <c r="AL60" s="40"/>
      <c r="AM60" s="40"/>
      <c r="AN60" s="40"/>
      <c r="AP60" s="40"/>
      <c r="AQ60" s="40"/>
      <c r="AR60" s="40"/>
      <c r="AS60" s="40"/>
      <c r="AT60" s="40"/>
      <c r="AU60" s="40"/>
      <c r="AV60" s="40"/>
    </row>
    <row r="61" spans="1:48" hidden="1" x14ac:dyDescent="0.2">
      <c r="A61" s="11" t="s">
        <v>69</v>
      </c>
      <c r="B61" s="77"/>
      <c r="C61" s="84" t="s">
        <v>110</v>
      </c>
      <c r="D61" s="77"/>
      <c r="E61" s="82">
        <v>0</v>
      </c>
      <c r="F61" s="82">
        <v>0</v>
      </c>
      <c r="G61" s="83" t="str">
        <f t="shared" si="24"/>
        <v>NM</v>
      </c>
      <c r="H61" s="80"/>
      <c r="I61" s="82">
        <v>0</v>
      </c>
      <c r="J61" s="82">
        <v>0</v>
      </c>
      <c r="K61" s="83" t="str">
        <f t="shared" ref="K61:K68" si="57">IF(ISERROR($E61*J61),"NM",IF($E61*J61&gt;0,IF(I61/J61&gt;2,"NM",I61/J61-1),"NM"))</f>
        <v>NM</v>
      </c>
      <c r="L61" s="80"/>
      <c r="M61" s="82">
        <v>0</v>
      </c>
      <c r="N61" s="82">
        <v>0</v>
      </c>
      <c r="O61" s="83" t="str">
        <f t="shared" si="26"/>
        <v>NM</v>
      </c>
      <c r="P61" s="80"/>
      <c r="Q61" s="82">
        <v>0</v>
      </c>
      <c r="R61" s="83" t="str">
        <f t="shared" si="27"/>
        <v>NM</v>
      </c>
      <c r="S61" s="80"/>
      <c r="T61" s="82">
        <v>0</v>
      </c>
      <c r="U61" s="82">
        <v>0</v>
      </c>
      <c r="V61" s="82">
        <v>0</v>
      </c>
      <c r="W61" s="82">
        <v>0</v>
      </c>
      <c r="X61" s="82">
        <v>0</v>
      </c>
      <c r="Y61" s="80"/>
      <c r="Z61" s="82">
        <v>0</v>
      </c>
      <c r="AA61" s="82">
        <v>0</v>
      </c>
      <c r="AB61" s="82">
        <v>0</v>
      </c>
      <c r="AC61" s="82">
        <v>0</v>
      </c>
      <c r="AD61" s="82">
        <v>0</v>
      </c>
      <c r="AE61" s="82">
        <v>0</v>
      </c>
      <c r="AF61" s="82">
        <v>0</v>
      </c>
      <c r="AH61" s="82">
        <v>0</v>
      </c>
      <c r="AI61" s="82">
        <v>0</v>
      </c>
      <c r="AJ61" s="82">
        <v>0</v>
      </c>
      <c r="AK61" s="82">
        <v>0</v>
      </c>
      <c r="AL61" s="82">
        <v>0</v>
      </c>
      <c r="AM61" s="82">
        <v>0</v>
      </c>
      <c r="AN61" s="82">
        <v>0</v>
      </c>
      <c r="AP61" s="82">
        <v>0</v>
      </c>
      <c r="AQ61" s="82">
        <v>0</v>
      </c>
      <c r="AR61" s="82">
        <v>0</v>
      </c>
      <c r="AS61" s="82">
        <v>0</v>
      </c>
      <c r="AT61" s="82">
        <v>0</v>
      </c>
      <c r="AU61" s="82">
        <v>0</v>
      </c>
      <c r="AV61" s="82">
        <v>0</v>
      </c>
    </row>
    <row r="62" spans="1:48" hidden="1" x14ac:dyDescent="0.2">
      <c r="A62" s="11" t="s">
        <v>70</v>
      </c>
      <c r="B62" s="77"/>
      <c r="C62" s="84" t="s">
        <v>111</v>
      </c>
      <c r="D62" s="77"/>
      <c r="E62" s="82">
        <v>0</v>
      </c>
      <c r="F62" s="82">
        <v>0</v>
      </c>
      <c r="G62" s="83" t="str">
        <f t="shared" si="24"/>
        <v>NM</v>
      </c>
      <c r="H62" s="80"/>
      <c r="I62" s="82">
        <v>0</v>
      </c>
      <c r="J62" s="82">
        <v>0</v>
      </c>
      <c r="K62" s="83" t="str">
        <f t="shared" si="57"/>
        <v>NM</v>
      </c>
      <c r="L62" s="80"/>
      <c r="M62" s="82">
        <v>0</v>
      </c>
      <c r="N62" s="82">
        <v>0</v>
      </c>
      <c r="O62" s="83" t="str">
        <f t="shared" si="26"/>
        <v>NM</v>
      </c>
      <c r="P62" s="80"/>
      <c r="Q62" s="82">
        <v>0</v>
      </c>
      <c r="R62" s="83" t="str">
        <f t="shared" si="27"/>
        <v>NM</v>
      </c>
      <c r="S62" s="80"/>
      <c r="T62" s="82">
        <v>0</v>
      </c>
      <c r="U62" s="82">
        <v>0</v>
      </c>
      <c r="V62" s="82">
        <v>0</v>
      </c>
      <c r="W62" s="82">
        <v>0</v>
      </c>
      <c r="X62" s="82">
        <v>0</v>
      </c>
      <c r="Y62" s="80"/>
      <c r="Z62" s="82">
        <v>0</v>
      </c>
      <c r="AA62" s="82">
        <v>0</v>
      </c>
      <c r="AB62" s="82">
        <v>0</v>
      </c>
      <c r="AC62" s="82">
        <v>0</v>
      </c>
      <c r="AD62" s="82">
        <v>0</v>
      </c>
      <c r="AE62" s="82">
        <v>0</v>
      </c>
      <c r="AF62" s="82">
        <v>0</v>
      </c>
      <c r="AH62" s="82">
        <v>0</v>
      </c>
      <c r="AI62" s="82">
        <v>0</v>
      </c>
      <c r="AJ62" s="82">
        <v>0</v>
      </c>
      <c r="AK62" s="82">
        <v>0</v>
      </c>
      <c r="AL62" s="82">
        <v>0</v>
      </c>
      <c r="AM62" s="82">
        <v>0</v>
      </c>
      <c r="AN62" s="82">
        <v>0</v>
      </c>
      <c r="AP62" s="82">
        <v>0</v>
      </c>
      <c r="AQ62" s="82">
        <v>0</v>
      </c>
      <c r="AR62" s="82">
        <v>0</v>
      </c>
      <c r="AS62" s="82">
        <v>0</v>
      </c>
      <c r="AT62" s="82">
        <v>0</v>
      </c>
      <c r="AU62" s="82">
        <v>0</v>
      </c>
      <c r="AV62" s="82">
        <v>0</v>
      </c>
    </row>
    <row r="63" spans="1:48" hidden="1" x14ac:dyDescent="0.2">
      <c r="A63" s="11" t="s">
        <v>71</v>
      </c>
      <c r="B63" s="77"/>
      <c r="C63" s="84" t="s">
        <v>112</v>
      </c>
      <c r="D63" s="77"/>
      <c r="E63" s="82">
        <v>0</v>
      </c>
      <c r="F63" s="82">
        <v>0</v>
      </c>
      <c r="G63" s="83" t="str">
        <f t="shared" si="24"/>
        <v>NM</v>
      </c>
      <c r="H63" s="80"/>
      <c r="I63" s="82">
        <v>0</v>
      </c>
      <c r="J63" s="82">
        <v>0</v>
      </c>
      <c r="K63" s="83" t="str">
        <f t="shared" si="57"/>
        <v>NM</v>
      </c>
      <c r="L63" s="80"/>
      <c r="M63" s="82">
        <v>0</v>
      </c>
      <c r="N63" s="82">
        <v>0</v>
      </c>
      <c r="O63" s="83" t="str">
        <f t="shared" si="26"/>
        <v>NM</v>
      </c>
      <c r="P63" s="80"/>
      <c r="Q63" s="82">
        <v>0</v>
      </c>
      <c r="R63" s="83" t="str">
        <f t="shared" si="27"/>
        <v>NM</v>
      </c>
      <c r="S63" s="80"/>
      <c r="T63" s="82">
        <v>0</v>
      </c>
      <c r="U63" s="82">
        <v>0</v>
      </c>
      <c r="V63" s="82">
        <v>0</v>
      </c>
      <c r="W63" s="82">
        <v>0</v>
      </c>
      <c r="X63" s="82">
        <v>0</v>
      </c>
      <c r="Y63" s="80"/>
      <c r="Z63" s="82">
        <v>0</v>
      </c>
      <c r="AA63" s="82">
        <v>0</v>
      </c>
      <c r="AB63" s="82">
        <v>0</v>
      </c>
      <c r="AC63" s="82">
        <v>0</v>
      </c>
      <c r="AD63" s="82">
        <v>0</v>
      </c>
      <c r="AE63" s="82">
        <v>0</v>
      </c>
      <c r="AF63" s="82">
        <v>0</v>
      </c>
      <c r="AH63" s="82">
        <v>0</v>
      </c>
      <c r="AI63" s="82">
        <v>0</v>
      </c>
      <c r="AJ63" s="82">
        <v>0</v>
      </c>
      <c r="AK63" s="82">
        <v>0</v>
      </c>
      <c r="AL63" s="82">
        <v>0</v>
      </c>
      <c r="AM63" s="82">
        <v>0</v>
      </c>
      <c r="AN63" s="82">
        <v>0</v>
      </c>
      <c r="AP63" s="82">
        <v>0</v>
      </c>
      <c r="AQ63" s="82">
        <v>0</v>
      </c>
      <c r="AR63" s="82">
        <v>0</v>
      </c>
      <c r="AS63" s="82">
        <v>0</v>
      </c>
      <c r="AT63" s="82">
        <v>0</v>
      </c>
      <c r="AU63" s="82">
        <v>0</v>
      </c>
      <c r="AV63" s="82">
        <v>0</v>
      </c>
    </row>
    <row r="64" spans="1:48" hidden="1" x14ac:dyDescent="0.2">
      <c r="A64" s="11" t="s">
        <v>72</v>
      </c>
      <c r="B64" s="77"/>
      <c r="C64" s="84" t="s">
        <v>113</v>
      </c>
      <c r="D64" s="77"/>
      <c r="E64" s="82">
        <v>0</v>
      </c>
      <c r="F64" s="82">
        <v>0</v>
      </c>
      <c r="G64" s="83" t="str">
        <f t="shared" si="24"/>
        <v>NM</v>
      </c>
      <c r="H64" s="80"/>
      <c r="I64" s="82">
        <v>0</v>
      </c>
      <c r="J64" s="82">
        <v>0</v>
      </c>
      <c r="K64" s="83" t="str">
        <f t="shared" si="57"/>
        <v>NM</v>
      </c>
      <c r="L64" s="80"/>
      <c r="M64" s="82">
        <v>0</v>
      </c>
      <c r="N64" s="82">
        <v>0</v>
      </c>
      <c r="O64" s="83" t="str">
        <f t="shared" si="26"/>
        <v>NM</v>
      </c>
      <c r="P64" s="80"/>
      <c r="Q64" s="82">
        <v>0</v>
      </c>
      <c r="R64" s="83" t="str">
        <f t="shared" si="27"/>
        <v>NM</v>
      </c>
      <c r="S64" s="80"/>
      <c r="T64" s="82">
        <v>0</v>
      </c>
      <c r="U64" s="82">
        <v>0</v>
      </c>
      <c r="V64" s="82">
        <v>0</v>
      </c>
      <c r="W64" s="82">
        <v>0</v>
      </c>
      <c r="X64" s="82">
        <v>0</v>
      </c>
      <c r="Y64" s="80"/>
      <c r="Z64" s="82">
        <v>0</v>
      </c>
      <c r="AA64" s="82">
        <v>0</v>
      </c>
      <c r="AB64" s="82">
        <v>0</v>
      </c>
      <c r="AC64" s="82">
        <v>0</v>
      </c>
      <c r="AD64" s="82">
        <v>0</v>
      </c>
      <c r="AE64" s="82">
        <v>0</v>
      </c>
      <c r="AF64" s="82">
        <v>0</v>
      </c>
      <c r="AH64" s="82">
        <v>0</v>
      </c>
      <c r="AI64" s="82">
        <v>0</v>
      </c>
      <c r="AJ64" s="82">
        <v>0</v>
      </c>
      <c r="AK64" s="82">
        <v>0</v>
      </c>
      <c r="AL64" s="82">
        <v>0</v>
      </c>
      <c r="AM64" s="82">
        <v>0</v>
      </c>
      <c r="AN64" s="82">
        <v>0</v>
      </c>
      <c r="AP64" s="82">
        <v>0</v>
      </c>
      <c r="AQ64" s="82">
        <v>0</v>
      </c>
      <c r="AR64" s="82">
        <v>0</v>
      </c>
      <c r="AS64" s="82">
        <v>0</v>
      </c>
      <c r="AT64" s="82">
        <v>0</v>
      </c>
      <c r="AU64" s="82">
        <v>0</v>
      </c>
      <c r="AV64" s="82">
        <v>0</v>
      </c>
    </row>
    <row r="65" spans="1:48" hidden="1" x14ac:dyDescent="0.2">
      <c r="A65" s="11" t="s">
        <v>73</v>
      </c>
      <c r="B65" s="77"/>
      <c r="C65" s="84" t="s">
        <v>114</v>
      </c>
      <c r="D65" s="77"/>
      <c r="E65" s="82">
        <v>0</v>
      </c>
      <c r="F65" s="82">
        <v>0</v>
      </c>
      <c r="G65" s="83" t="str">
        <f t="shared" si="24"/>
        <v>NM</v>
      </c>
      <c r="H65" s="80"/>
      <c r="I65" s="82">
        <v>0</v>
      </c>
      <c r="J65" s="82">
        <v>0</v>
      </c>
      <c r="K65" s="83" t="str">
        <f t="shared" si="57"/>
        <v>NM</v>
      </c>
      <c r="L65" s="80"/>
      <c r="M65" s="82">
        <v>0</v>
      </c>
      <c r="N65" s="82">
        <v>0</v>
      </c>
      <c r="O65" s="83" t="str">
        <f t="shared" si="26"/>
        <v>NM</v>
      </c>
      <c r="P65" s="80"/>
      <c r="Q65" s="82">
        <v>0</v>
      </c>
      <c r="R65" s="83" t="str">
        <f t="shared" si="27"/>
        <v>NM</v>
      </c>
      <c r="S65" s="80"/>
      <c r="T65" s="82">
        <v>0</v>
      </c>
      <c r="U65" s="82">
        <v>0</v>
      </c>
      <c r="V65" s="82">
        <v>0</v>
      </c>
      <c r="W65" s="82">
        <v>0</v>
      </c>
      <c r="X65" s="82">
        <v>0</v>
      </c>
      <c r="Y65" s="80"/>
      <c r="Z65" s="82">
        <v>0</v>
      </c>
      <c r="AA65" s="82">
        <v>0</v>
      </c>
      <c r="AB65" s="82">
        <v>0</v>
      </c>
      <c r="AC65" s="82">
        <v>0</v>
      </c>
      <c r="AD65" s="82">
        <v>0</v>
      </c>
      <c r="AE65" s="82">
        <v>0</v>
      </c>
      <c r="AF65" s="82">
        <v>0</v>
      </c>
      <c r="AH65" s="82">
        <v>0</v>
      </c>
      <c r="AI65" s="82">
        <v>0</v>
      </c>
      <c r="AJ65" s="82">
        <v>0</v>
      </c>
      <c r="AK65" s="82">
        <v>0</v>
      </c>
      <c r="AL65" s="82">
        <v>0</v>
      </c>
      <c r="AM65" s="82">
        <v>0</v>
      </c>
      <c r="AN65" s="82">
        <v>0</v>
      </c>
      <c r="AP65" s="82">
        <v>0</v>
      </c>
      <c r="AQ65" s="82">
        <v>0</v>
      </c>
      <c r="AR65" s="82">
        <v>0</v>
      </c>
      <c r="AS65" s="82">
        <v>0</v>
      </c>
      <c r="AT65" s="82">
        <v>0</v>
      </c>
      <c r="AU65" s="82">
        <v>0</v>
      </c>
      <c r="AV65" s="82">
        <v>0</v>
      </c>
    </row>
    <row r="66" spans="1:48" hidden="1" x14ac:dyDescent="0.2">
      <c r="A66" s="11" t="s">
        <v>74</v>
      </c>
      <c r="B66" s="77"/>
      <c r="C66" s="84" t="s">
        <v>115</v>
      </c>
      <c r="D66" s="77"/>
      <c r="E66" s="82">
        <v>0</v>
      </c>
      <c r="F66" s="82">
        <v>0</v>
      </c>
      <c r="G66" s="83" t="str">
        <f t="shared" si="24"/>
        <v>NM</v>
      </c>
      <c r="H66" s="80"/>
      <c r="I66" s="82">
        <v>0</v>
      </c>
      <c r="J66" s="82">
        <v>0</v>
      </c>
      <c r="K66" s="83" t="str">
        <f t="shared" si="57"/>
        <v>NM</v>
      </c>
      <c r="L66" s="80"/>
      <c r="M66" s="82">
        <v>0</v>
      </c>
      <c r="N66" s="82">
        <v>0</v>
      </c>
      <c r="O66" s="83" t="str">
        <f t="shared" si="26"/>
        <v>NM</v>
      </c>
      <c r="P66" s="80"/>
      <c r="Q66" s="82">
        <v>0</v>
      </c>
      <c r="R66" s="83" t="str">
        <f t="shared" si="27"/>
        <v>NM</v>
      </c>
      <c r="S66" s="80"/>
      <c r="T66" s="82">
        <v>0</v>
      </c>
      <c r="U66" s="82">
        <v>0</v>
      </c>
      <c r="V66" s="82">
        <v>0</v>
      </c>
      <c r="W66" s="82">
        <v>0</v>
      </c>
      <c r="X66" s="82">
        <v>0</v>
      </c>
      <c r="Y66" s="80"/>
      <c r="Z66" s="82">
        <v>0</v>
      </c>
      <c r="AA66" s="82">
        <v>0</v>
      </c>
      <c r="AB66" s="82">
        <v>0</v>
      </c>
      <c r="AC66" s="82">
        <v>0</v>
      </c>
      <c r="AD66" s="82">
        <v>0</v>
      </c>
      <c r="AE66" s="82">
        <v>0</v>
      </c>
      <c r="AF66" s="82">
        <v>0</v>
      </c>
      <c r="AH66" s="82">
        <v>0</v>
      </c>
      <c r="AI66" s="82">
        <v>0</v>
      </c>
      <c r="AJ66" s="82">
        <v>0</v>
      </c>
      <c r="AK66" s="82">
        <v>0</v>
      </c>
      <c r="AL66" s="82">
        <v>0</v>
      </c>
      <c r="AM66" s="82">
        <v>0</v>
      </c>
      <c r="AN66" s="82">
        <v>0</v>
      </c>
      <c r="AP66" s="82">
        <v>0</v>
      </c>
      <c r="AQ66" s="82">
        <v>0</v>
      </c>
      <c r="AR66" s="82">
        <v>0</v>
      </c>
      <c r="AS66" s="82">
        <v>0</v>
      </c>
      <c r="AT66" s="82">
        <v>0</v>
      </c>
      <c r="AU66" s="82">
        <v>0</v>
      </c>
      <c r="AV66" s="82">
        <v>0</v>
      </c>
    </row>
    <row r="67" spans="1:48" ht="12" hidden="1" x14ac:dyDescent="0.25">
      <c r="A67" s="11" t="s">
        <v>75</v>
      </c>
      <c r="C67" s="27" t="s">
        <v>116</v>
      </c>
      <c r="E67" s="24">
        <v>0</v>
      </c>
      <c r="F67" s="24">
        <v>0</v>
      </c>
      <c r="G67" s="21" t="str">
        <f t="shared" si="24"/>
        <v>NM</v>
      </c>
      <c r="H67" s="47"/>
      <c r="I67" s="24">
        <v>0</v>
      </c>
      <c r="J67" s="24">
        <v>0</v>
      </c>
      <c r="K67" s="21" t="str">
        <f t="shared" si="57"/>
        <v>NM</v>
      </c>
      <c r="L67" s="47"/>
      <c r="M67" s="24">
        <v>0</v>
      </c>
      <c r="N67" s="24">
        <v>0</v>
      </c>
      <c r="O67" s="21" t="str">
        <f t="shared" si="26"/>
        <v>NM</v>
      </c>
      <c r="P67" s="47"/>
      <c r="Q67" s="24">
        <v>0</v>
      </c>
      <c r="R67" s="21" t="str">
        <f t="shared" si="27"/>
        <v>NM</v>
      </c>
      <c r="S67" s="47"/>
      <c r="T67" s="24">
        <v>0</v>
      </c>
      <c r="U67" s="24">
        <v>0</v>
      </c>
      <c r="V67" s="24">
        <v>0</v>
      </c>
      <c r="W67" s="24">
        <v>0</v>
      </c>
      <c r="X67" s="24">
        <v>0</v>
      </c>
      <c r="Y67" s="47"/>
      <c r="Z67" s="24">
        <v>0</v>
      </c>
      <c r="AA67" s="24">
        <v>0</v>
      </c>
      <c r="AB67" s="24">
        <v>0</v>
      </c>
      <c r="AC67" s="24">
        <v>0</v>
      </c>
      <c r="AD67" s="24">
        <v>0</v>
      </c>
      <c r="AE67" s="24">
        <v>0</v>
      </c>
      <c r="AF67" s="24">
        <v>0</v>
      </c>
      <c r="AH67" s="24">
        <v>0</v>
      </c>
      <c r="AI67" s="24">
        <v>0</v>
      </c>
      <c r="AJ67" s="24">
        <v>0</v>
      </c>
      <c r="AK67" s="24">
        <v>0</v>
      </c>
      <c r="AL67" s="24">
        <v>0</v>
      </c>
      <c r="AM67" s="24">
        <v>0</v>
      </c>
      <c r="AN67" s="24">
        <v>0</v>
      </c>
      <c r="AP67" s="24">
        <v>0</v>
      </c>
      <c r="AQ67" s="24">
        <v>0</v>
      </c>
      <c r="AR67" s="24">
        <v>0</v>
      </c>
      <c r="AS67" s="24">
        <v>0</v>
      </c>
      <c r="AT67" s="24">
        <v>0</v>
      </c>
      <c r="AU67" s="24">
        <v>0</v>
      </c>
      <c r="AV67" s="24">
        <v>0</v>
      </c>
    </row>
    <row r="68" spans="1:48" ht="12" hidden="1" x14ac:dyDescent="0.25">
      <c r="A68" s="11" t="s">
        <v>77</v>
      </c>
      <c r="C68" s="32" t="s">
        <v>117</v>
      </c>
      <c r="E68" s="33">
        <v>0</v>
      </c>
      <c r="F68" s="33">
        <v>0</v>
      </c>
      <c r="G68" s="57" t="str">
        <f t="shared" si="24"/>
        <v>NM</v>
      </c>
      <c r="H68" s="47"/>
      <c r="I68" s="33">
        <v>0</v>
      </c>
      <c r="J68" s="33">
        <v>0</v>
      </c>
      <c r="K68" s="57" t="str">
        <f t="shared" si="57"/>
        <v>NM</v>
      </c>
      <c r="L68" s="47"/>
      <c r="M68" s="33">
        <v>0</v>
      </c>
      <c r="N68" s="33">
        <v>0</v>
      </c>
      <c r="O68" s="57" t="str">
        <f t="shared" si="26"/>
        <v>NM</v>
      </c>
      <c r="P68" s="47"/>
      <c r="Q68" s="33">
        <v>0</v>
      </c>
      <c r="R68" s="57" t="str">
        <f t="shared" si="27"/>
        <v>NM</v>
      </c>
      <c r="S68" s="47"/>
      <c r="T68" s="33">
        <v>0</v>
      </c>
      <c r="U68" s="33">
        <v>0</v>
      </c>
      <c r="V68" s="33">
        <v>0</v>
      </c>
      <c r="W68" s="33">
        <v>0</v>
      </c>
      <c r="X68" s="33">
        <v>0</v>
      </c>
      <c r="Y68" s="47"/>
      <c r="Z68" s="33">
        <v>0</v>
      </c>
      <c r="AA68" s="33">
        <v>0</v>
      </c>
      <c r="AB68" s="33">
        <v>0</v>
      </c>
      <c r="AC68" s="33">
        <v>0</v>
      </c>
      <c r="AD68" s="33">
        <v>0</v>
      </c>
      <c r="AE68" s="33">
        <v>0</v>
      </c>
      <c r="AF68" s="33">
        <v>0</v>
      </c>
      <c r="AH68" s="33">
        <v>0</v>
      </c>
      <c r="AI68" s="33">
        <v>0</v>
      </c>
      <c r="AJ68" s="33">
        <v>0</v>
      </c>
      <c r="AK68" s="33">
        <v>0</v>
      </c>
      <c r="AL68" s="33">
        <v>0</v>
      </c>
      <c r="AM68" s="33">
        <v>0</v>
      </c>
      <c r="AN68" s="33">
        <v>0</v>
      </c>
      <c r="AP68" s="33">
        <v>0</v>
      </c>
      <c r="AQ68" s="33">
        <v>0</v>
      </c>
      <c r="AR68" s="33">
        <v>0</v>
      </c>
      <c r="AS68" s="33">
        <v>0</v>
      </c>
      <c r="AT68" s="33">
        <v>0</v>
      </c>
      <c r="AU68" s="33">
        <v>0</v>
      </c>
      <c r="AV68" s="33">
        <v>0</v>
      </c>
    </row>
    <row r="69" spans="1:48" hidden="1" x14ac:dyDescent="0.2">
      <c r="A69" s="42"/>
      <c r="B69" s="31"/>
      <c r="C69" s="31"/>
      <c r="E69" s="31"/>
      <c r="F69" s="31"/>
      <c r="G69" s="58"/>
      <c r="I69" s="31"/>
      <c r="J69" s="31"/>
      <c r="K69" s="58"/>
      <c r="M69" s="31"/>
      <c r="N69" s="31"/>
      <c r="O69" s="58"/>
      <c r="Q69" s="31"/>
      <c r="R69" s="58"/>
      <c r="T69" s="31"/>
      <c r="U69" s="31"/>
      <c r="V69" s="31"/>
      <c r="W69" s="31"/>
      <c r="X69" s="31"/>
      <c r="Z69" s="31"/>
      <c r="AA69" s="31"/>
      <c r="AB69" s="31"/>
      <c r="AC69" s="31"/>
      <c r="AD69" s="31"/>
      <c r="AE69" s="31"/>
      <c r="AF69" s="31"/>
      <c r="AH69" s="31"/>
      <c r="AI69" s="31"/>
      <c r="AJ69" s="31"/>
      <c r="AK69" s="31"/>
      <c r="AL69" s="31"/>
      <c r="AM69" s="31"/>
      <c r="AN69" s="31"/>
      <c r="AP69" s="31"/>
      <c r="AQ69" s="31"/>
      <c r="AR69" s="31"/>
      <c r="AS69" s="31"/>
      <c r="AT69" s="31"/>
      <c r="AU69" s="31"/>
      <c r="AV69" s="31"/>
    </row>
    <row r="70" spans="1:48" hidden="1" x14ac:dyDescent="0.2">
      <c r="A70" s="11"/>
      <c r="E70" t="b">
        <f t="shared" ref="E70:F70" si="58">E48=SUM(E45:E47)</f>
        <v>1</v>
      </c>
      <c r="F70" t="b">
        <f t="shared" si="58"/>
        <v>1</v>
      </c>
      <c r="I70" t="b">
        <f t="shared" ref="I70:J70" si="59">I48=SUM(I45:I47)</f>
        <v>1</v>
      </c>
      <c r="J70" t="b">
        <f t="shared" si="59"/>
        <v>1</v>
      </c>
      <c r="Q70" t="b">
        <f t="shared" ref="Q70" si="60">Q48=SUM(Q45:Q47)</f>
        <v>1</v>
      </c>
      <c r="T70" t="b">
        <f t="shared" ref="T70:W70" si="61">T48=SUM(T45:T47)</f>
        <v>1</v>
      </c>
      <c r="U70" t="b">
        <f t="shared" si="61"/>
        <v>1</v>
      </c>
      <c r="V70" t="b">
        <f t="shared" si="61"/>
        <v>1</v>
      </c>
      <c r="W70" t="b">
        <f t="shared" si="61"/>
        <v>1</v>
      </c>
      <c r="X70" t="b">
        <f>X48=SUM(X45:X47)</f>
        <v>0</v>
      </c>
      <c r="Z70" t="b">
        <f t="shared" ref="Z70:AF70" si="62">Z48=SUM(Z45:Z47)</f>
        <v>1</v>
      </c>
      <c r="AA70" t="b">
        <f t="shared" si="62"/>
        <v>1</v>
      </c>
      <c r="AB70" t="b">
        <f t="shared" si="62"/>
        <v>1</v>
      </c>
      <c r="AC70" t="b">
        <f t="shared" si="62"/>
        <v>1</v>
      </c>
      <c r="AD70" t="b">
        <f t="shared" si="62"/>
        <v>1</v>
      </c>
      <c r="AE70" t="b">
        <f t="shared" si="62"/>
        <v>1</v>
      </c>
      <c r="AF70" t="b">
        <f t="shared" si="62"/>
        <v>1</v>
      </c>
      <c r="AH70" t="b">
        <f t="shared" ref="AH70:AN70" si="63">AH48=SUM(AH45:AH47)</f>
        <v>1</v>
      </c>
      <c r="AI70" t="b">
        <f t="shared" si="63"/>
        <v>1</v>
      </c>
      <c r="AJ70" t="b">
        <f t="shared" si="63"/>
        <v>1</v>
      </c>
      <c r="AK70" t="b">
        <f t="shared" si="63"/>
        <v>1</v>
      </c>
      <c r="AL70" t="b">
        <f t="shared" si="63"/>
        <v>1</v>
      </c>
      <c r="AM70" t="b">
        <f t="shared" si="63"/>
        <v>1</v>
      </c>
      <c r="AN70" t="b">
        <f t="shared" si="63"/>
        <v>1</v>
      </c>
      <c r="AP70" t="b">
        <f t="shared" ref="AP70:AV70" si="64">AP48=SUM(AP45:AP47)</f>
        <v>1</v>
      </c>
      <c r="AQ70" t="b">
        <f t="shared" si="64"/>
        <v>1</v>
      </c>
      <c r="AR70" t="b">
        <f t="shared" si="64"/>
        <v>1</v>
      </c>
      <c r="AS70" t="b">
        <f t="shared" si="64"/>
        <v>1</v>
      </c>
      <c r="AT70" t="b">
        <f t="shared" si="64"/>
        <v>1</v>
      </c>
      <c r="AU70" t="b">
        <f t="shared" si="64"/>
        <v>1</v>
      </c>
      <c r="AV70" t="b">
        <f t="shared" si="64"/>
        <v>1</v>
      </c>
    </row>
    <row r="71" spans="1:48" hidden="1" x14ac:dyDescent="0.2">
      <c r="E71" t="b">
        <f t="shared" ref="E71:F71" si="65">E52=SUM(E49:E51)</f>
        <v>1</v>
      </c>
      <c r="F71" t="b">
        <f t="shared" si="65"/>
        <v>1</v>
      </c>
      <c r="I71" t="b">
        <f t="shared" ref="I71:J71" si="66">I52=SUM(I49:I51)</f>
        <v>1</v>
      </c>
      <c r="J71" t="b">
        <f t="shared" si="66"/>
        <v>1</v>
      </c>
      <c r="Q71" t="b">
        <f t="shared" ref="Q71" si="67">Q52=SUM(Q49:Q51)</f>
        <v>1</v>
      </c>
      <c r="T71" t="b">
        <f t="shared" ref="T71:X71" si="68">T52=SUM(T49:T51)</f>
        <v>1</v>
      </c>
      <c r="U71" t="b">
        <f t="shared" si="68"/>
        <v>1</v>
      </c>
      <c r="V71" t="b">
        <f t="shared" si="68"/>
        <v>1</v>
      </c>
      <c r="W71" t="b">
        <f t="shared" si="68"/>
        <v>1</v>
      </c>
      <c r="X71" t="b">
        <f t="shared" si="68"/>
        <v>0</v>
      </c>
      <c r="Z71" t="b">
        <f t="shared" ref="Z71:AF71" si="69">Z52=SUM(Z49:Z51)</f>
        <v>1</v>
      </c>
      <c r="AA71" t="b">
        <f t="shared" si="69"/>
        <v>1</v>
      </c>
      <c r="AB71" t="b">
        <f t="shared" si="69"/>
        <v>1</v>
      </c>
      <c r="AC71" t="b">
        <f t="shared" si="69"/>
        <v>1</v>
      </c>
      <c r="AD71" t="b">
        <f t="shared" si="69"/>
        <v>1</v>
      </c>
      <c r="AE71" t="b">
        <f t="shared" si="69"/>
        <v>1</v>
      </c>
      <c r="AF71" t="b">
        <f t="shared" si="69"/>
        <v>1</v>
      </c>
      <c r="AH71" t="b">
        <f t="shared" ref="AH71:AN71" si="70">AH52=SUM(AH49:AH51)</f>
        <v>1</v>
      </c>
      <c r="AI71" t="b">
        <f t="shared" si="70"/>
        <v>1</v>
      </c>
      <c r="AJ71" t="b">
        <f t="shared" si="70"/>
        <v>1</v>
      </c>
      <c r="AK71" t="b">
        <f t="shared" si="70"/>
        <v>1</v>
      </c>
      <c r="AL71" t="b">
        <f t="shared" si="70"/>
        <v>1</v>
      </c>
      <c r="AM71" t="b">
        <f t="shared" si="70"/>
        <v>1</v>
      </c>
      <c r="AN71" t="b">
        <f t="shared" si="70"/>
        <v>1</v>
      </c>
      <c r="AP71" t="b">
        <f t="shared" ref="AP71:AV71" si="71">AP52=SUM(AP49:AP51)</f>
        <v>1</v>
      </c>
      <c r="AQ71" t="b">
        <f t="shared" si="71"/>
        <v>1</v>
      </c>
      <c r="AR71" t="b">
        <f t="shared" si="71"/>
        <v>1</v>
      </c>
      <c r="AS71" t="b">
        <f t="shared" si="71"/>
        <v>1</v>
      </c>
      <c r="AT71" t="b">
        <f t="shared" si="71"/>
        <v>1</v>
      </c>
      <c r="AU71" t="b">
        <f t="shared" si="71"/>
        <v>1</v>
      </c>
      <c r="AV71" t="b">
        <f t="shared" si="71"/>
        <v>1</v>
      </c>
    </row>
    <row r="72" spans="1:48" hidden="1" x14ac:dyDescent="0.2">
      <c r="E72" t="b">
        <f t="shared" ref="E72:F72" si="72">E57=E48+E52+E53+E54+E55</f>
        <v>1</v>
      </c>
      <c r="F72" t="b">
        <f t="shared" si="72"/>
        <v>1</v>
      </c>
      <c r="I72" t="b">
        <f t="shared" ref="I72:J72" si="73">I57=I48+I52+I53+I54+I55</f>
        <v>1</v>
      </c>
      <c r="J72" t="b">
        <f t="shared" si="73"/>
        <v>1</v>
      </c>
      <c r="Q72" t="b">
        <f>Q57=Q48+Q52+Q53+Q54+Q55</f>
        <v>1</v>
      </c>
      <c r="T72" t="b">
        <f t="shared" ref="T72:X72" si="74">T57=T48+T52+T53+T54+T55</f>
        <v>1</v>
      </c>
      <c r="U72" t="b">
        <f t="shared" si="74"/>
        <v>1</v>
      </c>
      <c r="V72" t="b">
        <f t="shared" si="74"/>
        <v>1</v>
      </c>
      <c r="W72" t="b">
        <f t="shared" si="74"/>
        <v>1</v>
      </c>
      <c r="X72" t="b">
        <f t="shared" si="74"/>
        <v>1</v>
      </c>
      <c r="Z72" t="b">
        <f t="shared" ref="Z72:AF72" si="75">Z57=Z48+Z52+Z53+Z54+Z55</f>
        <v>1</v>
      </c>
      <c r="AA72" t="b">
        <f t="shared" si="75"/>
        <v>1</v>
      </c>
      <c r="AB72" t="b">
        <f t="shared" si="75"/>
        <v>1</v>
      </c>
      <c r="AC72" t="b">
        <f t="shared" si="75"/>
        <v>1</v>
      </c>
      <c r="AD72" t="b">
        <f t="shared" si="75"/>
        <v>1</v>
      </c>
      <c r="AE72" t="b">
        <f t="shared" si="75"/>
        <v>1</v>
      </c>
      <c r="AF72" t="b">
        <f t="shared" si="75"/>
        <v>1</v>
      </c>
      <c r="AH72" t="b">
        <f t="shared" ref="AH72:AN72" si="76">AH57=AH48+AH52+AH53+AH54+AH55</f>
        <v>1</v>
      </c>
      <c r="AI72" t="b">
        <f t="shared" si="76"/>
        <v>1</v>
      </c>
      <c r="AJ72" t="b">
        <f t="shared" si="76"/>
        <v>1</v>
      </c>
      <c r="AK72" t="b">
        <f t="shared" si="76"/>
        <v>1</v>
      </c>
      <c r="AL72" t="b">
        <f t="shared" si="76"/>
        <v>1</v>
      </c>
      <c r="AM72" t="b">
        <f t="shared" si="76"/>
        <v>1</v>
      </c>
      <c r="AN72" t="b">
        <f t="shared" si="76"/>
        <v>1</v>
      </c>
      <c r="AP72" t="b">
        <f t="shared" ref="AP72:AV72" si="77">AP57=AP48+AP52+AP53+AP54+AP55</f>
        <v>1</v>
      </c>
      <c r="AQ72" t="b">
        <f t="shared" si="77"/>
        <v>1</v>
      </c>
      <c r="AR72" t="b">
        <f t="shared" si="77"/>
        <v>1</v>
      </c>
      <c r="AS72" t="b">
        <f t="shared" si="77"/>
        <v>1</v>
      </c>
      <c r="AT72" t="b">
        <f t="shared" si="77"/>
        <v>1</v>
      </c>
      <c r="AU72" t="b">
        <f t="shared" si="77"/>
        <v>1</v>
      </c>
      <c r="AV72" t="b">
        <f t="shared" si="77"/>
        <v>1</v>
      </c>
    </row>
  </sheetData>
  <pageMargins left="0.39370078740157483" right="0.39370078740157483" top="0.39370078740157483" bottom="0.59055118110236227" header="0.31496062992125984" footer="0.19685039370078741"/>
  <pageSetup paperSize="9" scale="56" orientation="landscape" verticalDpi="0" r:id="rId1"/>
  <headerFooter>
    <oddFooter>&amp;L&amp;"Arial Black,Normal"&amp;F - &amp;A&amp;C&amp;"Arial Black,Normal"&amp;8p. &amp;P / &amp;N&amp;R&amp;"Arial Narrow,Normal"&amp;8&amp;G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F96B-92CB-42FC-B7CA-6F0E90EFB263}">
  <sheetPr>
    <pageSetUpPr fitToPage="1"/>
  </sheetPr>
  <dimension ref="A1:AD57"/>
  <sheetViews>
    <sheetView showGridLines="0" topLeftCell="A18" zoomScale="90" zoomScaleNormal="100" workbookViewId="0">
      <pane xSplit="4" topLeftCell="E1" activePane="topRight" state="frozen"/>
      <selection activeCell="B30" sqref="B30"/>
      <selection pane="topRight" activeCell="R47" sqref="R47"/>
    </sheetView>
  </sheetViews>
  <sheetFormatPr baseColWidth="10" defaultColWidth="9.125" defaultRowHeight="11.4" outlineLevelRow="1" outlineLevelCol="1" x14ac:dyDescent="0.2"/>
  <cols>
    <col min="1" max="1" width="25.75" hidden="1" customWidth="1" outlineLevel="1"/>
    <col min="2" max="2" width="2.75" customWidth="1" collapsed="1"/>
    <col min="3" max="3" width="58.75" customWidth="1"/>
    <col min="4" max="4" width="2.75" customWidth="1"/>
    <col min="7" max="7" width="14.125" style="52" bestFit="1" customWidth="1"/>
    <col min="8" max="8" width="2.75" style="45" customWidth="1"/>
    <col min="9" max="9" width="9.125" customWidth="1"/>
    <col min="10" max="10" width="9.125" hidden="1" customWidth="1"/>
    <col min="11" max="11" width="14.125" style="52" hidden="1" customWidth="1"/>
    <col min="12" max="12" width="2.75" style="45" hidden="1" customWidth="1"/>
    <col min="14" max="14" width="14.125" style="52" bestFit="1" customWidth="1"/>
    <col min="15" max="15" width="10.75" style="45" customWidth="1"/>
    <col min="16" max="16" width="10.625" customWidth="1"/>
    <col min="17" max="17" width="9.125" customWidth="1"/>
    <col min="18" max="20" width="10.625" customWidth="1"/>
    <col min="21" max="21" width="3.625" style="232" customWidth="1"/>
    <col min="22" max="24" width="10.625" customWidth="1"/>
    <col min="25" max="25" width="3.625" customWidth="1"/>
    <col min="26" max="30" width="10.625" customWidth="1"/>
  </cols>
  <sheetData>
    <row r="1" spans="1:30" hidden="1" outlineLevel="1" x14ac:dyDescent="0.2">
      <c r="A1" s="232"/>
      <c r="B1" s="232"/>
      <c r="C1" s="11" t="s">
        <v>23</v>
      </c>
      <c r="D1" s="232"/>
      <c r="E1" s="329" t="s">
        <v>310</v>
      </c>
      <c r="F1" s="329" t="s">
        <v>311</v>
      </c>
      <c r="G1" s="273"/>
      <c r="H1" s="274"/>
      <c r="I1" s="11" t="str">
        <f>DateQ</f>
        <v>2025Q3</v>
      </c>
      <c r="J1" s="11" t="str">
        <f>YEAR(EOMONTH(DateRef,-12))&amp;"Q"&amp;MONTH(EOMONTH(DateRef,-12))/3</f>
        <v>2024Q3</v>
      </c>
      <c r="K1" s="273"/>
      <c r="L1" s="274"/>
      <c r="M1" s="329" t="s">
        <v>258</v>
      </c>
      <c r="N1" s="273"/>
      <c r="O1" s="274"/>
      <c r="P1" s="329" t="s">
        <v>310</v>
      </c>
      <c r="Q1" s="11" t="str">
        <f>DateQ</f>
        <v>2025Q3</v>
      </c>
      <c r="R1" s="329" t="s">
        <v>318</v>
      </c>
      <c r="S1" s="329" t="s">
        <v>309</v>
      </c>
      <c r="T1" s="329" t="s">
        <v>328</v>
      </c>
      <c r="V1" s="329" t="s">
        <v>317</v>
      </c>
      <c r="W1" s="349" t="s">
        <v>311</v>
      </c>
      <c r="X1" s="349" t="s">
        <v>316</v>
      </c>
      <c r="Y1" s="232"/>
      <c r="Z1" s="329" t="s">
        <v>263</v>
      </c>
      <c r="AA1" s="329" t="s">
        <v>259</v>
      </c>
      <c r="AB1" s="329" t="s">
        <v>258</v>
      </c>
      <c r="AC1" s="329" t="s">
        <v>257</v>
      </c>
      <c r="AD1" s="329" t="s">
        <v>256</v>
      </c>
    </row>
    <row r="2" spans="1:30" hidden="1" outlineLevel="1" x14ac:dyDescent="0.2">
      <c r="A2" s="232"/>
      <c r="B2" s="232"/>
      <c r="C2" s="11"/>
      <c r="D2" s="232"/>
      <c r="E2" s="232"/>
      <c r="F2" s="232"/>
      <c r="G2" s="276"/>
      <c r="H2" s="277"/>
      <c r="I2" s="232"/>
      <c r="J2" s="232"/>
      <c r="K2" s="276"/>
      <c r="L2" s="277"/>
      <c r="M2" s="232"/>
      <c r="N2" s="276"/>
      <c r="O2" s="277"/>
      <c r="P2" s="278">
        <f>DateRef</f>
        <v>45930</v>
      </c>
      <c r="Q2" s="232"/>
      <c r="R2" s="278">
        <f>EOMONTH(P2,-3)</f>
        <v>45838</v>
      </c>
      <c r="S2" s="278"/>
      <c r="T2" s="278"/>
      <c r="V2" s="278">
        <f>EOMONTH(P2,-9)</f>
        <v>45657</v>
      </c>
      <c r="W2" s="350">
        <f>EOMONTH(V2,-3)</f>
        <v>45565</v>
      </c>
      <c r="X2" s="350">
        <f>EOMONTH(W2,-3)</f>
        <v>45473</v>
      </c>
      <c r="Y2" s="232"/>
      <c r="Z2" s="278"/>
      <c r="AA2" s="278"/>
      <c r="AB2" s="278"/>
      <c r="AC2" s="278"/>
      <c r="AD2" s="278"/>
    </row>
    <row r="3" spans="1:30" collapsed="1" x14ac:dyDescent="0.2">
      <c r="A3" s="11" t="s">
        <v>5</v>
      </c>
      <c r="B3" s="232"/>
      <c r="C3" s="232"/>
      <c r="D3" s="232"/>
      <c r="E3" s="232"/>
      <c r="F3" s="232"/>
      <c r="G3" s="276"/>
      <c r="H3" s="277"/>
      <c r="I3" s="232"/>
      <c r="J3" s="232"/>
      <c r="K3" s="276"/>
      <c r="L3" s="277"/>
      <c r="M3" s="232"/>
      <c r="N3" s="276"/>
      <c r="O3" s="277"/>
      <c r="P3" s="232"/>
      <c r="Q3" s="232"/>
      <c r="R3" s="232"/>
      <c r="S3" s="232"/>
      <c r="T3" s="232"/>
      <c r="V3" s="232"/>
      <c r="W3" s="232"/>
      <c r="X3" s="232"/>
      <c r="Y3" s="232"/>
      <c r="Z3" s="232"/>
      <c r="AA3" s="232"/>
      <c r="AB3" s="232"/>
      <c r="AC3" s="232"/>
      <c r="AD3" s="232"/>
    </row>
    <row r="4" spans="1:30" ht="17.399999999999999" x14ac:dyDescent="0.3">
      <c r="B4" s="145"/>
      <c r="C4" s="121" t="s">
        <v>269</v>
      </c>
      <c r="D4" s="145"/>
      <c r="E4" s="146"/>
      <c r="F4" s="147"/>
      <c r="P4" s="121"/>
      <c r="R4" s="121"/>
      <c r="V4" s="121"/>
      <c r="Z4" s="121"/>
    </row>
    <row r="5" spans="1:30" ht="17.399999999999999" x14ac:dyDescent="0.3">
      <c r="B5" s="145"/>
      <c r="C5" s="121"/>
      <c r="D5" s="145"/>
      <c r="E5" s="146"/>
      <c r="F5" s="147"/>
      <c r="P5" s="121"/>
      <c r="R5" s="121"/>
    </row>
    <row r="6" spans="1:30" ht="17.399999999999999" x14ac:dyDescent="0.3">
      <c r="B6" s="145"/>
      <c r="C6" s="121"/>
      <c r="D6" s="145"/>
      <c r="E6" s="146"/>
      <c r="F6" s="147"/>
      <c r="P6" s="121"/>
      <c r="R6" s="121"/>
    </row>
    <row r="7" spans="1:30" ht="17.399999999999999" x14ac:dyDescent="0.3">
      <c r="B7" s="145"/>
      <c r="C7" s="121"/>
      <c r="D7" s="145"/>
      <c r="E7" s="146"/>
      <c r="F7" s="147"/>
      <c r="P7" s="121"/>
      <c r="R7" s="121"/>
    </row>
    <row r="8" spans="1:30" ht="17.399999999999999" x14ac:dyDescent="0.3">
      <c r="B8" s="145"/>
      <c r="C8" s="121"/>
      <c r="D8" s="145"/>
      <c r="E8" s="146"/>
      <c r="F8" s="147"/>
      <c r="P8" s="121"/>
      <c r="R8" s="121"/>
    </row>
    <row r="9" spans="1:30" ht="17.399999999999999" x14ac:dyDescent="0.3">
      <c r="B9" s="145"/>
      <c r="C9" s="121"/>
      <c r="D9" s="145"/>
      <c r="E9" s="146"/>
      <c r="F9" s="147"/>
      <c r="P9" s="121"/>
      <c r="R9" s="121"/>
    </row>
    <row r="10" spans="1:30" ht="17.399999999999999" x14ac:dyDescent="0.3">
      <c r="B10" s="145"/>
      <c r="C10" s="121"/>
      <c r="D10" s="145"/>
      <c r="E10" s="146"/>
      <c r="F10" s="147"/>
      <c r="P10" s="121"/>
      <c r="R10" s="121"/>
    </row>
    <row r="11" spans="1:30" ht="17.399999999999999" x14ac:dyDescent="0.3">
      <c r="B11" s="145"/>
      <c r="C11" s="121"/>
      <c r="D11" s="145"/>
      <c r="E11" s="146">
        <f>DateRef</f>
        <v>45930</v>
      </c>
      <c r="F11" s="147"/>
      <c r="P11" s="121" t="s">
        <v>249</v>
      </c>
      <c r="R11" s="121"/>
      <c r="V11" s="121" t="s">
        <v>329</v>
      </c>
      <c r="Z11" s="121" t="s">
        <v>330</v>
      </c>
    </row>
    <row r="12" spans="1:30" ht="26.25" customHeight="1" thickBot="1" x14ac:dyDescent="0.3">
      <c r="C12" s="14" t="s">
        <v>118</v>
      </c>
      <c r="E12" s="15" t="str" cm="1">
        <f t="array" ref="E12">INDEX(TableYtd,MONTH(EOMONTH(DateRef,-12)),2)&amp;YEAR(DateRef)</f>
        <v>9M 2025</v>
      </c>
      <c r="F12" s="15" t="str" cm="1">
        <f t="array" ref="F12">INDEX(TableYtd,MONTH(EOMONTH(DateRef,-12)),2)&amp;YEAR(EOMONTH(DateRef,-12))&amp;"*"</f>
        <v>9M 2024*</v>
      </c>
      <c r="G12" s="53" t="s">
        <v>119</v>
      </c>
      <c r="H12" s="46"/>
      <c r="I12" s="15" t="str">
        <f>RIGHT(I$1,2)&amp;" "&amp;LEFT(I$1,4)</f>
        <v>Q3 2025</v>
      </c>
      <c r="J12" s="15" t="str">
        <f>RIGHT(J$1,2)&amp;" "&amp;LEFT(J$1,4)</f>
        <v>Q3 2024</v>
      </c>
      <c r="K12" s="53" t="s">
        <v>119</v>
      </c>
      <c r="L12" s="46"/>
      <c r="M12" s="15" t="str">
        <f>MID(M$1,5,2)&amp;" "&amp;LEFT(M$1,4)&amp;"*"</f>
        <v>Q3 2024*</v>
      </c>
      <c r="N12" s="53" t="s">
        <v>120</v>
      </c>
      <c r="O12" s="46"/>
      <c r="P12" s="15" t="str" cm="1">
        <f t="array" ref="P12">INDEX(TableYtd,MONTH(P$2),2)&amp;YEAR(P$2)</f>
        <v>9M 2025</v>
      </c>
      <c r="Q12" s="15" t="str">
        <f>RIGHT(Q$1,2)&amp;" "&amp;LEFT(Q$1,4)</f>
        <v>Q3 2025</v>
      </c>
      <c r="R12" s="15" t="str" cm="1">
        <f t="array" ref="R12">INDEX(TableYtd,MONTH(R$2),2)&amp;YEAR(R$2)</f>
        <v>H1 2025</v>
      </c>
      <c r="S12" s="15" t="str">
        <f>MID(S$1,5,2)&amp;" "&amp;LEFT(S$1,4)</f>
        <v>Q2 2025</v>
      </c>
      <c r="T12" s="15" t="str">
        <f>MID(T$1,5,2)&amp;" "&amp;LEFT(T$1,4)</f>
        <v>Q1 2025</v>
      </c>
      <c r="V12" s="15" t="str" cm="1">
        <f t="array" ref="V12">INDEX(TableYtd,MONTH(V$2),2)&amp;YEAR(V$2)&amp;"*"</f>
        <v>FY 2024*</v>
      </c>
      <c r="W12" s="15" t="str" cm="1">
        <f t="array" ref="W12">INDEX(TableYtd,MONTH(W$2),2)&amp;YEAR(W$2)&amp;"*"</f>
        <v>9M 2024*</v>
      </c>
      <c r="X12" s="15" t="str" cm="1">
        <f t="array" ref="X12">INDEX(TableYtd,MONTH(X$2),2)&amp;YEAR(X$2)&amp;"*"</f>
        <v>H1 2024*</v>
      </c>
      <c r="Z12" s="15" t="str">
        <f>MID(Z$1,5,2)&amp;" "&amp;LEFT(Z$1,4)&amp;"*"</f>
        <v>Q1 2025*</v>
      </c>
      <c r="AA12" s="15" t="str">
        <f>MID(AA$1,5,2)&amp;" "&amp;LEFT(AA$1,4)&amp;"*"</f>
        <v>Q4 2024*</v>
      </c>
      <c r="AB12" s="15" t="str">
        <f>MID(AB$1,5,2)&amp;" "&amp;LEFT(AB$1,4)&amp;"*"</f>
        <v>Q3 2024*</v>
      </c>
      <c r="AC12" s="15" t="str">
        <f>MID(AC$1,5,2)&amp;" "&amp;LEFT(AC$1,4)&amp;"*"</f>
        <v>Q2 2024*</v>
      </c>
      <c r="AD12" s="15" t="str">
        <f>MID(AD$1,5,2)&amp;" "&amp;LEFT(AD$1,4)&amp;"*"</f>
        <v>Q1 2024*</v>
      </c>
    </row>
    <row r="13" spans="1:30" x14ac:dyDescent="0.2">
      <c r="A13" s="11" t="s">
        <v>24</v>
      </c>
      <c r="B13" s="77"/>
      <c r="C13" s="76" t="s">
        <v>173</v>
      </c>
      <c r="D13" s="77"/>
      <c r="E13" s="78">
        <v>2288.9132679799995</v>
      </c>
      <c r="F13" s="78">
        <v>2197.97104524</v>
      </c>
      <c r="G13" s="79">
        <f>IF(ISERROR($E13*F13),"NM",IF($E13*F13&gt;0,IF(E13/F13&gt;2,"NM",E13/F13-1),"NM"))</f>
        <v>4.1375532647232705E-2</v>
      </c>
      <c r="H13" s="80"/>
      <c r="I13" s="78">
        <v>747.20128153999985</v>
      </c>
      <c r="J13" s="78">
        <v>804.50904794000053</v>
      </c>
      <c r="K13" s="79">
        <f>IF(ISERROR($I13*J13),"NM",IF($I13*J13&gt;0,IF(I13/J13&gt;2,"NM",I13/J13-1),"NM"))</f>
        <v>-7.1233215520373649E-2</v>
      </c>
      <c r="L13" s="80"/>
      <c r="M13" s="78">
        <v>723.42086900000049</v>
      </c>
      <c r="N13" s="79">
        <f t="shared" ref="N13:N40" si="0">IF(ISERROR($I13*M13),"NM",IF($I13*M13&gt;0,IF(I13/M13&gt;2,"NM",I13/M13-1),"NM"))</f>
        <v>3.2872168275808189E-2</v>
      </c>
      <c r="O13" s="80"/>
      <c r="P13" s="78">
        <v>2288.9132679799995</v>
      </c>
      <c r="Q13" s="78">
        <v>747.20128153999985</v>
      </c>
      <c r="R13" s="78">
        <v>1541.7119864400001</v>
      </c>
      <c r="S13" s="78">
        <v>717.31139664000011</v>
      </c>
      <c r="T13" s="78">
        <v>824.40058979999992</v>
      </c>
      <c r="V13" s="78">
        <v>2929.5746452100002</v>
      </c>
      <c r="W13" s="78">
        <v>2197.97104524</v>
      </c>
      <c r="X13" s="78">
        <v>1474.5501762399995</v>
      </c>
      <c r="Z13" s="78">
        <v>736.88998211000001</v>
      </c>
      <c r="AA13" s="78">
        <v>731.60359997000012</v>
      </c>
      <c r="AB13" s="78">
        <v>723.42086900000049</v>
      </c>
      <c r="AC13" s="78">
        <v>708.85434572999975</v>
      </c>
      <c r="AD13" s="78">
        <v>692.54689882999958</v>
      </c>
    </row>
    <row r="14" spans="1:30" x14ac:dyDescent="0.2">
      <c r="A14" s="11" t="s">
        <v>25</v>
      </c>
      <c r="B14" s="77"/>
      <c r="C14" s="81" t="s">
        <v>78</v>
      </c>
      <c r="D14" s="77"/>
      <c r="E14" s="82">
        <v>90.873964529999995</v>
      </c>
      <c r="F14" s="82">
        <v>85.257235600000001</v>
      </c>
      <c r="G14" s="83">
        <f t="shared" ref="G14:G56" si="1">IF(ISERROR($E14*F14),"NM",IF($E14*F14&gt;0,IF(E14/F14&gt;2,"NM",E14/F14-1),"NM"))</f>
        <v>6.5879791790950382E-2</v>
      </c>
      <c r="H14" s="80"/>
      <c r="I14" s="82">
        <v>33.198177129999998</v>
      </c>
      <c r="J14" s="82">
        <v>20.378085539999987</v>
      </c>
      <c r="K14" s="83">
        <f t="shared" ref="K14:K56" si="2">IF(ISERROR($I14*J14),"NM",IF($I14*J14&gt;0,IF(I14/J14&gt;2,"NM",I14/J14-1),"NM"))</f>
        <v>0.62911167807375978</v>
      </c>
      <c r="L14" s="80"/>
      <c r="M14" s="82">
        <v>18.796477639999985</v>
      </c>
      <c r="N14" s="83">
        <f t="shared" si="0"/>
        <v>0.76619139850715268</v>
      </c>
      <c r="O14" s="80"/>
      <c r="P14" s="82">
        <v>90.873964529999995</v>
      </c>
      <c r="Q14" s="82">
        <v>33.198177129999998</v>
      </c>
      <c r="R14" s="82">
        <v>57.675787400000004</v>
      </c>
      <c r="S14" s="82">
        <v>34.788250260000005</v>
      </c>
      <c r="T14" s="82">
        <v>22.887537139999999</v>
      </c>
      <c r="V14" s="82">
        <v>141.25066859999998</v>
      </c>
      <c r="W14" s="82">
        <v>85.257235600000001</v>
      </c>
      <c r="X14" s="82">
        <v>66.460757960000024</v>
      </c>
      <c r="Z14" s="82">
        <v>22.656754369999998</v>
      </c>
      <c r="AA14" s="82">
        <v>55.993432999999982</v>
      </c>
      <c r="AB14" s="82">
        <v>18.796477639999985</v>
      </c>
      <c r="AC14" s="82">
        <v>48.953476120000012</v>
      </c>
      <c r="AD14" s="82">
        <v>16.159865370000006</v>
      </c>
    </row>
    <row r="15" spans="1:30" x14ac:dyDescent="0.2">
      <c r="A15" s="11" t="s">
        <v>27</v>
      </c>
      <c r="B15" s="77"/>
      <c r="C15" s="84" t="s">
        <v>80</v>
      </c>
      <c r="D15" s="77"/>
      <c r="E15" s="82">
        <v>2379.7872325099997</v>
      </c>
      <c r="F15" s="82">
        <v>2283.22828084</v>
      </c>
      <c r="G15" s="83">
        <f t="shared" si="1"/>
        <v>4.2290537691866525E-2</v>
      </c>
      <c r="H15" s="80"/>
      <c r="I15" s="82">
        <v>780.39945866999983</v>
      </c>
      <c r="J15" s="82">
        <v>824.88713348000056</v>
      </c>
      <c r="K15" s="83">
        <f t="shared" si="2"/>
        <v>-5.3931832616079145E-2</v>
      </c>
      <c r="L15" s="80"/>
      <c r="M15" s="82">
        <v>742.21734664000053</v>
      </c>
      <c r="N15" s="83">
        <f t="shared" si="0"/>
        <v>5.1443303235701565E-2</v>
      </c>
      <c r="O15" s="80"/>
      <c r="P15" s="82">
        <v>2379.7872325099997</v>
      </c>
      <c r="Q15" s="82">
        <v>780.39945866999983</v>
      </c>
      <c r="R15" s="82">
        <v>1599.3877738400001</v>
      </c>
      <c r="S15" s="82">
        <v>752.09964690000015</v>
      </c>
      <c r="T15" s="82">
        <v>847.28812693999987</v>
      </c>
      <c r="V15" s="82">
        <v>3070.8253138099999</v>
      </c>
      <c r="W15" s="82">
        <v>2283.22828084</v>
      </c>
      <c r="X15" s="82">
        <v>1541.0109341999996</v>
      </c>
      <c r="Z15" s="82">
        <v>759.54673648000005</v>
      </c>
      <c r="AA15" s="82">
        <v>787.5970329700001</v>
      </c>
      <c r="AB15" s="82">
        <v>742.21734664000053</v>
      </c>
      <c r="AC15" s="82">
        <v>757.80782184999975</v>
      </c>
      <c r="AD15" s="82">
        <v>708.70676419999961</v>
      </c>
    </row>
    <row r="16" spans="1:30" x14ac:dyDescent="0.2">
      <c r="A16" s="11" t="s">
        <v>29</v>
      </c>
      <c r="B16" s="77"/>
      <c r="C16" s="84" t="s">
        <v>267</v>
      </c>
      <c r="D16" s="77"/>
      <c r="E16" s="82">
        <v>80.630138700000003</v>
      </c>
      <c r="F16" s="82">
        <v>54.31512282999995</v>
      </c>
      <c r="G16" s="83">
        <f t="shared" si="1"/>
        <v>0.48448782767854559</v>
      </c>
      <c r="H16" s="80"/>
      <c r="I16" s="82">
        <v>29.121314640000001</v>
      </c>
      <c r="J16" s="82">
        <v>19.503094319999999</v>
      </c>
      <c r="K16" s="83">
        <f t="shared" si="2"/>
        <v>0.49316381094136053</v>
      </c>
      <c r="L16" s="80"/>
      <c r="M16" s="82">
        <v>19.503094319999999</v>
      </c>
      <c r="N16" s="83">
        <f t="shared" si="0"/>
        <v>0.49316381094136053</v>
      </c>
      <c r="O16" s="80"/>
      <c r="P16" s="82">
        <v>80.630138700000003</v>
      </c>
      <c r="Q16" s="82">
        <v>29.121314640000001</v>
      </c>
      <c r="R16" s="82">
        <v>51.508824059999995</v>
      </c>
      <c r="S16" s="82">
        <v>25.849257659999989</v>
      </c>
      <c r="T16" s="82">
        <v>25.65956640000001</v>
      </c>
      <c r="V16" s="82">
        <v>80.168684900000031</v>
      </c>
      <c r="W16" s="82">
        <v>54.31512282999995</v>
      </c>
      <c r="X16" s="82">
        <v>34.812028509999948</v>
      </c>
      <c r="Z16" s="82">
        <v>25.65956640000001</v>
      </c>
      <c r="AA16" s="82">
        <v>25.853562070000084</v>
      </c>
      <c r="AB16" s="82">
        <v>19.503094319999999</v>
      </c>
      <c r="AC16" s="82">
        <v>17.257334369999956</v>
      </c>
      <c r="AD16" s="82">
        <v>17.554694139999992</v>
      </c>
    </row>
    <row r="17" spans="1:30" ht="12" x14ac:dyDescent="0.25">
      <c r="A17" s="11" t="s">
        <v>30</v>
      </c>
      <c r="B17" s="136"/>
      <c r="C17" s="135" t="s">
        <v>265</v>
      </c>
      <c r="D17" s="136"/>
      <c r="E17" s="137">
        <v>-2.0386913699999951</v>
      </c>
      <c r="F17" s="137">
        <v>-5.861701020000023</v>
      </c>
      <c r="G17" s="138">
        <f>IF(ISERROR($E17*F17),"NM",IF($E17*F17&gt;0,IF(E17/F17&gt;2,"NM",E17/F17-1),"NM"))</f>
        <v>-0.6522014065466637</v>
      </c>
      <c r="H17" s="139"/>
      <c r="I17" s="137">
        <v>-14.100910229999785</v>
      </c>
      <c r="J17" s="137">
        <v>-6.3697731700000588</v>
      </c>
      <c r="K17" s="138" t="str">
        <f t="shared" si="2"/>
        <v>NM</v>
      </c>
      <c r="L17" s="139"/>
      <c r="M17" s="137">
        <v>-8.5332506000000556</v>
      </c>
      <c r="N17" s="138">
        <f t="shared" si="0"/>
        <v>0.65246643875660859</v>
      </c>
      <c r="O17" s="139"/>
      <c r="P17" s="137">
        <v>-2.0386913699999951</v>
      </c>
      <c r="Q17" s="137">
        <v>-14.100910229999785</v>
      </c>
      <c r="R17" s="137">
        <v>12.062218859999795</v>
      </c>
      <c r="S17" s="137">
        <v>-7.4061154600001835</v>
      </c>
      <c r="T17" s="137">
        <v>19.468334319999979</v>
      </c>
      <c r="V17" s="137">
        <v>-12.013864439999615</v>
      </c>
      <c r="W17" s="137">
        <v>-5.861701020000023</v>
      </c>
      <c r="X17" s="137">
        <v>2.6715495800000326</v>
      </c>
      <c r="Y17" s="140"/>
      <c r="Z17" s="137">
        <v>17.681286519999972</v>
      </c>
      <c r="AA17" s="137">
        <v>-6.1521634199995923</v>
      </c>
      <c r="AB17" s="137">
        <v>-8.5332506000000556</v>
      </c>
      <c r="AC17" s="137">
        <v>-0.23301502999995805</v>
      </c>
      <c r="AD17" s="137">
        <v>-0.35693792000000357</v>
      </c>
    </row>
    <row r="18" spans="1:30" ht="12" x14ac:dyDescent="0.25">
      <c r="A18" s="11" t="s">
        <v>31</v>
      </c>
      <c r="B18" s="136"/>
      <c r="C18" s="141" t="s">
        <v>266</v>
      </c>
      <c r="D18" s="136"/>
      <c r="E18" s="142">
        <v>57.39187063</v>
      </c>
      <c r="F18" s="142">
        <v>62.006631256666644</v>
      </c>
      <c r="G18" s="143">
        <f t="shared" si="1"/>
        <v>-7.4423662971861426E-2</v>
      </c>
      <c r="H18" s="144"/>
      <c r="I18" s="142">
        <v>5.7234287700002149</v>
      </c>
      <c r="J18" s="142">
        <v>17.378506116666607</v>
      </c>
      <c r="K18" s="143">
        <f t="shared" si="2"/>
        <v>-0.67066048533876899</v>
      </c>
      <c r="L18" s="144"/>
      <c r="M18" s="142">
        <v>15.215028686666608</v>
      </c>
      <c r="N18" s="143">
        <f t="shared" si="0"/>
        <v>-0.62383056332875475</v>
      </c>
      <c r="O18" s="144"/>
      <c r="P18" s="142">
        <v>57.39187063</v>
      </c>
      <c r="Q18" s="142">
        <v>5.7234287700002149</v>
      </c>
      <c r="R18" s="142">
        <v>51.668441859999795</v>
      </c>
      <c r="S18" s="142">
        <v>12.410804829999815</v>
      </c>
      <c r="T18" s="142">
        <v>39.257637029999977</v>
      </c>
      <c r="V18" s="142">
        <v>79.619063020000382</v>
      </c>
      <c r="W18" s="142">
        <v>62.006631256666644</v>
      </c>
      <c r="X18" s="142">
        <v>46.791602570000038</v>
      </c>
      <c r="Y18" s="140"/>
      <c r="Z18" s="142">
        <v>37.470589229999966</v>
      </c>
      <c r="AA18" s="142">
        <v>17.612431763333738</v>
      </c>
      <c r="AB18" s="142">
        <v>15.215028686666608</v>
      </c>
      <c r="AC18" s="142">
        <v>23.490015260000039</v>
      </c>
      <c r="AD18" s="142">
        <v>20.040084779999994</v>
      </c>
    </row>
    <row r="19" spans="1:30" ht="12" x14ac:dyDescent="0.25">
      <c r="A19" s="11" t="s">
        <v>32</v>
      </c>
      <c r="C19" s="17" t="s">
        <v>83</v>
      </c>
      <c r="E19" s="24">
        <v>2458.3786798399997</v>
      </c>
      <c r="F19" s="24">
        <v>2331.6817026499998</v>
      </c>
      <c r="G19" s="21">
        <f t="shared" si="1"/>
        <v>5.4337166623560362E-2</v>
      </c>
      <c r="H19" s="47"/>
      <c r="I19" s="24">
        <v>795.41986308000003</v>
      </c>
      <c r="J19" s="24">
        <v>838.02045463000047</v>
      </c>
      <c r="K19" s="21">
        <f t="shared" si="2"/>
        <v>-5.0834787283097205E-2</v>
      </c>
      <c r="L19" s="47"/>
      <c r="M19" s="24">
        <v>753.18719036000039</v>
      </c>
      <c r="N19" s="21">
        <f t="shared" si="0"/>
        <v>5.6071947665246036E-2</v>
      </c>
      <c r="O19" s="47"/>
      <c r="P19" s="24">
        <v>2458.3786798399997</v>
      </c>
      <c r="Q19" s="24">
        <v>795.41986308000003</v>
      </c>
      <c r="R19" s="24">
        <v>1662.95881676</v>
      </c>
      <c r="S19" s="24">
        <v>770.54278910000005</v>
      </c>
      <c r="T19" s="24">
        <v>892.41602765999983</v>
      </c>
      <c r="V19" s="24">
        <v>3138.9801342700002</v>
      </c>
      <c r="W19" s="24">
        <v>2331.6817026499998</v>
      </c>
      <c r="X19" s="24">
        <v>1578.4945122899994</v>
      </c>
      <c r="Z19" s="24">
        <v>802.88758940000002</v>
      </c>
      <c r="AA19" s="24">
        <v>807.29843162000054</v>
      </c>
      <c r="AB19" s="24">
        <v>753.18719036000039</v>
      </c>
      <c r="AC19" s="24">
        <v>774.83214118999979</v>
      </c>
      <c r="AD19" s="24">
        <v>725.9045204199997</v>
      </c>
    </row>
    <row r="20" spans="1:30" ht="12" x14ac:dyDescent="0.25">
      <c r="A20" s="11" t="s">
        <v>33</v>
      </c>
      <c r="C20" s="18" t="s">
        <v>84</v>
      </c>
      <c r="E20" s="25">
        <v>2517.8092418399997</v>
      </c>
      <c r="F20" s="25">
        <v>2399.5500349266667</v>
      </c>
      <c r="G20" s="26">
        <f t="shared" si="1"/>
        <v>4.928390956304729E-2</v>
      </c>
      <c r="H20" s="47"/>
      <c r="I20" s="25">
        <v>815.24420208000004</v>
      </c>
      <c r="J20" s="25">
        <v>861.7687339166672</v>
      </c>
      <c r="K20" s="26">
        <f t="shared" si="2"/>
        <v>-5.3987259000703114E-2</v>
      </c>
      <c r="L20" s="47"/>
      <c r="M20" s="25">
        <v>776.93546964666712</v>
      </c>
      <c r="N20" s="26">
        <f t="shared" si="0"/>
        <v>4.9307482963488525E-2</v>
      </c>
      <c r="O20" s="47"/>
      <c r="P20" s="25">
        <v>2517.8092418399997</v>
      </c>
      <c r="Q20" s="25">
        <v>815.24420208000004</v>
      </c>
      <c r="R20" s="25">
        <v>1702.56503976</v>
      </c>
      <c r="S20" s="25">
        <v>790.35970939000003</v>
      </c>
      <c r="T20" s="25">
        <v>912.20533036999984</v>
      </c>
      <c r="V20" s="25">
        <v>3230.6130617300005</v>
      </c>
      <c r="W20" s="25">
        <v>2399.5500349266667</v>
      </c>
      <c r="X20" s="25">
        <v>1622.6145652799994</v>
      </c>
      <c r="Z20" s="25">
        <v>822.67689211000004</v>
      </c>
      <c r="AA20" s="25">
        <v>831.06302680333386</v>
      </c>
      <c r="AB20" s="25">
        <v>776.93546964666712</v>
      </c>
      <c r="AC20" s="25">
        <v>798.55517147999979</v>
      </c>
      <c r="AD20" s="25">
        <v>746.30154311999968</v>
      </c>
    </row>
    <row r="21" spans="1:30" x14ac:dyDescent="0.2">
      <c r="A21" s="12" t="s">
        <v>35</v>
      </c>
      <c r="B21" s="77"/>
      <c r="C21" s="84" t="s">
        <v>246</v>
      </c>
      <c r="D21" s="77"/>
      <c r="E21" s="82">
        <v>-901.62519157999986</v>
      </c>
      <c r="F21" s="82">
        <v>-840.56729602000019</v>
      </c>
      <c r="G21" s="83">
        <f t="shared" si="1"/>
        <v>7.2638914039485636E-2</v>
      </c>
      <c r="H21" s="80"/>
      <c r="I21" s="82">
        <v>-306.52606936999996</v>
      </c>
      <c r="J21" s="82">
        <v>-307.39329872000019</v>
      </c>
      <c r="K21" s="83">
        <f t="shared" si="2"/>
        <v>-2.8212370068294579E-3</v>
      </c>
      <c r="L21" s="80"/>
      <c r="M21" s="82">
        <v>-268.6452712800002</v>
      </c>
      <c r="N21" s="83">
        <f t="shared" si="0"/>
        <v>0.14100675552378461</v>
      </c>
      <c r="O21" s="80"/>
      <c r="P21" s="82">
        <v>-901.62519157999986</v>
      </c>
      <c r="Q21" s="82">
        <v>-306.52606936999996</v>
      </c>
      <c r="R21" s="82">
        <v>-595.0991222099999</v>
      </c>
      <c r="S21" s="82">
        <v>-271.52501531999997</v>
      </c>
      <c r="T21" s="82">
        <v>-323.57410689</v>
      </c>
      <c r="V21" s="82">
        <v>-1141.0455567110134</v>
      </c>
      <c r="W21" s="82">
        <v>-840.56729602000019</v>
      </c>
      <c r="X21" s="82">
        <v>-571.92202473999998</v>
      </c>
      <c r="Z21" s="82">
        <v>-275.07776279000001</v>
      </c>
      <c r="AA21" s="82">
        <v>-300.47826069101336</v>
      </c>
      <c r="AB21" s="82">
        <v>-268.6452712800002</v>
      </c>
      <c r="AC21" s="82">
        <v>-276.63038315999995</v>
      </c>
      <c r="AD21" s="82">
        <v>-260.38315306000004</v>
      </c>
    </row>
    <row r="22" spans="1:30" x14ac:dyDescent="0.2">
      <c r="A22" s="12" t="s">
        <v>36</v>
      </c>
      <c r="B22" s="77"/>
      <c r="C22" s="84" t="s">
        <v>86</v>
      </c>
      <c r="D22" s="77"/>
      <c r="E22" s="82">
        <v>-428.80685305999998</v>
      </c>
      <c r="F22" s="82">
        <v>-411.33107642999988</v>
      </c>
      <c r="G22" s="83">
        <f t="shared" si="1"/>
        <v>4.2485913735657466E-2</v>
      </c>
      <c r="H22" s="80"/>
      <c r="I22" s="82">
        <v>-129.54228645000001</v>
      </c>
      <c r="J22" s="82">
        <v>-148.45637489999984</v>
      </c>
      <c r="K22" s="83">
        <f t="shared" si="2"/>
        <v>-0.12740502698345124</v>
      </c>
      <c r="L22" s="80"/>
      <c r="M22" s="82">
        <v>-134.01170241999984</v>
      </c>
      <c r="N22" s="83">
        <f t="shared" si="0"/>
        <v>-3.3350937935199387E-2</v>
      </c>
      <c r="O22" s="80"/>
      <c r="P22" s="82">
        <v>-428.80685305999998</v>
      </c>
      <c r="Q22" s="82">
        <v>-129.54228645000001</v>
      </c>
      <c r="R22" s="82">
        <v>-299.26456660999997</v>
      </c>
      <c r="S22" s="82">
        <v>-145.12953228999996</v>
      </c>
      <c r="T22" s="82">
        <v>-154.13503431999999</v>
      </c>
      <c r="V22" s="82">
        <v>-536.00335857043183</v>
      </c>
      <c r="W22" s="82">
        <v>-411.33107642999988</v>
      </c>
      <c r="X22" s="82">
        <v>-277.31937401000005</v>
      </c>
      <c r="Z22" s="82">
        <v>-140.8475799</v>
      </c>
      <c r="AA22" s="82">
        <v>-124.67228214043193</v>
      </c>
      <c r="AB22" s="82">
        <v>-134.01170241999984</v>
      </c>
      <c r="AC22" s="82">
        <v>-133.43637762</v>
      </c>
      <c r="AD22" s="82">
        <v>-128.47168547000001</v>
      </c>
    </row>
    <row r="23" spans="1:30" ht="12" x14ac:dyDescent="0.25">
      <c r="A23" s="11" t="s">
        <v>37</v>
      </c>
      <c r="C23" s="17" t="s">
        <v>87</v>
      </c>
      <c r="E23" s="24">
        <v>-1423.2544955299998</v>
      </c>
      <c r="F23" s="24">
        <v>-1251.8983724499999</v>
      </c>
      <c r="G23" s="21">
        <f t="shared" si="1"/>
        <v>0.13687702360747633</v>
      </c>
      <c r="H23" s="47"/>
      <c r="I23" s="24">
        <v>-518.35554267999999</v>
      </c>
      <c r="J23" s="24">
        <v>-455.84967362000003</v>
      </c>
      <c r="K23" s="21">
        <f t="shared" si="2"/>
        <v>0.13711947748832953</v>
      </c>
      <c r="L23" s="47"/>
      <c r="M23" s="24">
        <v>-402.65697370000004</v>
      </c>
      <c r="N23" s="21">
        <f t="shared" si="0"/>
        <v>0.2873378000059208</v>
      </c>
      <c r="O23" s="47"/>
      <c r="P23" s="24">
        <v>-1423.2544955299998</v>
      </c>
      <c r="Q23" s="24">
        <v>-518.35554267999999</v>
      </c>
      <c r="R23" s="24">
        <v>-904.89895284999989</v>
      </c>
      <c r="S23" s="24">
        <v>-418.44354760999988</v>
      </c>
      <c r="T23" s="24">
        <v>-486.45540524</v>
      </c>
      <c r="V23" s="24">
        <v>-1680.5476156914451</v>
      </c>
      <c r="W23" s="24">
        <v>-1251.8983724499999</v>
      </c>
      <c r="X23" s="24">
        <v>-849.24139874999992</v>
      </c>
      <c r="Z23" s="24">
        <v>-419.28398838999999</v>
      </c>
      <c r="AA23" s="24">
        <v>-428.64924324144528</v>
      </c>
      <c r="AB23" s="24">
        <v>-402.65697370000004</v>
      </c>
      <c r="AC23" s="24">
        <v>-410.06676077999992</v>
      </c>
      <c r="AD23" s="24">
        <v>-388.85483853000005</v>
      </c>
    </row>
    <row r="24" spans="1:30" ht="12" x14ac:dyDescent="0.25">
      <c r="A24" s="11" t="s">
        <v>38</v>
      </c>
      <c r="C24" s="18" t="s">
        <v>88</v>
      </c>
      <c r="E24" s="25">
        <v>-1330.4320446399997</v>
      </c>
      <c r="F24" s="25">
        <v>-1251.8983724499999</v>
      </c>
      <c r="G24" s="26">
        <f t="shared" si="1"/>
        <v>6.2731667296848759E-2</v>
      </c>
      <c r="H24" s="47"/>
      <c r="I24" s="25">
        <v>-436.06835581999997</v>
      </c>
      <c r="J24" s="25">
        <v>-455.84967362000003</v>
      </c>
      <c r="K24" s="26">
        <f t="shared" si="2"/>
        <v>-4.3394388423956487E-2</v>
      </c>
      <c r="L24" s="47"/>
      <c r="M24" s="25">
        <v>-402.65697370000004</v>
      </c>
      <c r="N24" s="26">
        <f t="shared" si="0"/>
        <v>8.297728414581762E-2</v>
      </c>
      <c r="O24" s="47"/>
      <c r="P24" s="25">
        <v>-1330.4320446399997</v>
      </c>
      <c r="Q24" s="25">
        <v>-436.06835581999997</v>
      </c>
      <c r="R24" s="25">
        <v>-894.36368881999988</v>
      </c>
      <c r="S24" s="25">
        <v>-416.6545476099999</v>
      </c>
      <c r="T24" s="25">
        <v>-477.70914120999998</v>
      </c>
      <c r="V24" s="25">
        <v>-1677.0489152814453</v>
      </c>
      <c r="W24" s="25">
        <v>-1251.8983724499999</v>
      </c>
      <c r="X24" s="25">
        <v>-849.24139874999992</v>
      </c>
      <c r="Z24" s="25">
        <v>-415.92534268999998</v>
      </c>
      <c r="AA24" s="25">
        <v>-425.15054283144536</v>
      </c>
      <c r="AB24" s="25">
        <v>-402.65697370000004</v>
      </c>
      <c r="AC24" s="25">
        <v>-410.06676077999992</v>
      </c>
      <c r="AD24" s="25">
        <v>-388.85483853000005</v>
      </c>
    </row>
    <row r="25" spans="1:30" ht="12" x14ac:dyDescent="0.2">
      <c r="A25" s="333" t="s">
        <v>304</v>
      </c>
      <c r="B25" s="35"/>
      <c r="C25" s="340" t="s">
        <v>305</v>
      </c>
      <c r="D25" s="227"/>
      <c r="E25" s="341">
        <v>0.57894030207853509</v>
      </c>
      <c r="F25" s="341">
        <v>0.53690791973329555</v>
      </c>
      <c r="G25" s="345">
        <f t="shared" ref="G25:G26" si="3">IF(ISERROR($E25*F25),"NM",IF($E25*F25&gt;0,IF(E25/F25&gt;2,"NM",(E25-F25)*100),"NM"))</f>
        <v>4.2032382345239538</v>
      </c>
      <c r="H25" s="343"/>
      <c r="I25" s="341">
        <v>0.65167538144300263</v>
      </c>
      <c r="J25" s="341">
        <v>0.543960080092872</v>
      </c>
      <c r="K25" s="345">
        <f t="shared" ref="K25:K26" si="4">IF(ISERROR($I25*J25),"NM",IF($I25*J25&gt;0,IF($I25/J25&gt;2,"NM",($I25-J25)*100),"NM"))</f>
        <v>10.771530135013062</v>
      </c>
      <c r="L25" s="343"/>
      <c r="M25" s="341">
        <v>0.53460411814431197</v>
      </c>
      <c r="N25" s="345">
        <f t="shared" ref="N25:N26" si="5">IF(ISERROR($I25*M25),"NM",IF($I25*M25&gt;0,IF(L25/M25&gt;2,"NM",($I25-M25)*100),"NM"))</f>
        <v>11.707126329869066</v>
      </c>
      <c r="O25" s="47"/>
      <c r="P25" s="341">
        <v>0.57894030207853509</v>
      </c>
      <c r="Q25" s="341">
        <v>0.65167538144300263</v>
      </c>
      <c r="R25" s="341">
        <v>0.54414994750925083</v>
      </c>
      <c r="S25" s="341">
        <v>0.54305037115297017</v>
      </c>
      <c r="T25" s="341">
        <v>0.54509935967368561</v>
      </c>
      <c r="V25" s="341">
        <v>1.067875436146374</v>
      </c>
      <c r="W25" s="341">
        <v>0.53690791973329555</v>
      </c>
      <c r="X25" s="341">
        <v>0.53800719111653028</v>
      </c>
      <c r="Y25" s="343"/>
      <c r="Z25" s="341">
        <v>0.52222003917551152</v>
      </c>
      <c r="AA25" s="341">
        <v>0.5309675164130786</v>
      </c>
      <c r="AB25" s="341">
        <v>0.53460411814431197</v>
      </c>
      <c r="AC25" s="341">
        <v>0.52923302865342259</v>
      </c>
      <c r="AD25" s="341">
        <v>0.5356831753920106</v>
      </c>
    </row>
    <row r="26" spans="1:30" ht="12" x14ac:dyDescent="0.2">
      <c r="A26" s="333" t="s">
        <v>302</v>
      </c>
      <c r="B26" s="35"/>
      <c r="C26" s="334" t="s">
        <v>303</v>
      </c>
      <c r="D26" s="227"/>
      <c r="E26" s="335">
        <v>0.52840859527059647</v>
      </c>
      <c r="F26" s="335">
        <v>0.52172213716237825</v>
      </c>
      <c r="G26" s="346">
        <f t="shared" si="3"/>
        <v>0.66864581082182184</v>
      </c>
      <c r="H26" s="337"/>
      <c r="I26" s="335">
        <v>0.53489292497563634</v>
      </c>
      <c r="J26" s="335">
        <v>0.52896984501654076</v>
      </c>
      <c r="K26" s="346">
        <f t="shared" si="4"/>
        <v>0.59230799590955785</v>
      </c>
      <c r="L26" s="337"/>
      <c r="M26" s="335">
        <v>0.51826308545691635</v>
      </c>
      <c r="N26" s="346">
        <f t="shared" si="5"/>
        <v>1.6629839518719991</v>
      </c>
      <c r="O26" s="47"/>
      <c r="P26" s="335">
        <v>0.52840859527059647</v>
      </c>
      <c r="Q26" s="335">
        <v>0.53489292497563634</v>
      </c>
      <c r="R26" s="335">
        <v>0.52530368469569466</v>
      </c>
      <c r="S26" s="335">
        <v>0.52717078396060202</v>
      </c>
      <c r="T26" s="335">
        <v>0.52368597869981337</v>
      </c>
      <c r="V26" s="335">
        <v>1.0332965053144278</v>
      </c>
      <c r="W26" s="335">
        <v>0.52172213716237825</v>
      </c>
      <c r="X26" s="335">
        <v>0.52337838998964881</v>
      </c>
      <c r="Y26" s="337"/>
      <c r="Z26" s="335">
        <v>0.5055755749055203</v>
      </c>
      <c r="AA26" s="335">
        <v>0.5115743681520496</v>
      </c>
      <c r="AB26" s="335">
        <v>0.51826308545691635</v>
      </c>
      <c r="AC26" s="335">
        <v>0.51351086991272499</v>
      </c>
      <c r="AD26" s="335">
        <v>0.5210425224425338</v>
      </c>
    </row>
    <row r="27" spans="1:30" ht="12" x14ac:dyDescent="0.25">
      <c r="A27" s="11" t="s">
        <v>40</v>
      </c>
      <c r="B27" s="34"/>
      <c r="C27" s="27" t="s">
        <v>90</v>
      </c>
      <c r="D27" s="34"/>
      <c r="E27" s="24">
        <v>1035.1241843099999</v>
      </c>
      <c r="F27" s="24">
        <v>1079.7833301999999</v>
      </c>
      <c r="G27" s="21">
        <f t="shared" si="1"/>
        <v>-4.1359358531426915E-2</v>
      </c>
      <c r="H27" s="47"/>
      <c r="I27" s="24">
        <v>277.06432040000004</v>
      </c>
      <c r="J27" s="24">
        <v>382.17078101000044</v>
      </c>
      <c r="K27" s="21">
        <f t="shared" si="2"/>
        <v>-0.27502484709120145</v>
      </c>
      <c r="L27" s="47"/>
      <c r="M27" s="24">
        <v>350.53021666000035</v>
      </c>
      <c r="N27" s="21">
        <f t="shared" si="0"/>
        <v>-0.20958505934242799</v>
      </c>
      <c r="O27" s="47"/>
      <c r="P27" s="24">
        <v>1035.1241843099999</v>
      </c>
      <c r="Q27" s="24">
        <v>277.06432040000004</v>
      </c>
      <c r="R27" s="24">
        <v>758.0598639100001</v>
      </c>
      <c r="S27" s="24">
        <v>352.09924149000017</v>
      </c>
      <c r="T27" s="24">
        <v>405.96062241999982</v>
      </c>
      <c r="V27" s="24">
        <v>1458.4325185785551</v>
      </c>
      <c r="W27" s="24">
        <v>1079.7833301999999</v>
      </c>
      <c r="X27" s="24">
        <v>729.2531135399995</v>
      </c>
      <c r="Z27" s="24">
        <v>383.60360101000003</v>
      </c>
      <c r="AA27" s="24">
        <v>378.64918837855527</v>
      </c>
      <c r="AB27" s="24">
        <v>350.53021666000035</v>
      </c>
      <c r="AC27" s="24">
        <v>364.76538040999986</v>
      </c>
      <c r="AD27" s="24">
        <v>337.04968188999965</v>
      </c>
    </row>
    <row r="28" spans="1:30" ht="12" x14ac:dyDescent="0.2">
      <c r="A28" s="11" t="s">
        <v>41</v>
      </c>
      <c r="B28" s="20"/>
      <c r="C28" s="19" t="s">
        <v>91</v>
      </c>
      <c r="D28" s="20"/>
      <c r="E28" s="25">
        <v>1187.3771972</v>
      </c>
      <c r="F28" s="25">
        <v>1147.6516624766666</v>
      </c>
      <c r="G28" s="26">
        <f t="shared" si="1"/>
        <v>3.4614627436346357E-2</v>
      </c>
      <c r="H28" s="47"/>
      <c r="I28" s="25">
        <v>379.17584626000007</v>
      </c>
      <c r="J28" s="25">
        <v>405.91906029666711</v>
      </c>
      <c r="K28" s="26">
        <f t="shared" si="2"/>
        <v>-6.5883119696625414E-2</v>
      </c>
      <c r="L28" s="47"/>
      <c r="M28" s="25">
        <v>374.27849594666708</v>
      </c>
      <c r="N28" s="26">
        <f t="shared" si="0"/>
        <v>1.3084776086176308E-2</v>
      </c>
      <c r="O28" s="47"/>
      <c r="P28" s="25">
        <v>1187.3771972</v>
      </c>
      <c r="Q28" s="25">
        <v>379.17584626000007</v>
      </c>
      <c r="R28" s="25">
        <v>808.20135094000011</v>
      </c>
      <c r="S28" s="25">
        <v>373.70516178000014</v>
      </c>
      <c r="T28" s="25">
        <v>434.4961891599998</v>
      </c>
      <c r="V28" s="25">
        <v>1553.5641464485552</v>
      </c>
      <c r="W28" s="25">
        <v>1147.6516624766666</v>
      </c>
      <c r="X28" s="25">
        <v>773.37316652999948</v>
      </c>
      <c r="Z28" s="25">
        <v>406.75154942000006</v>
      </c>
      <c r="AA28" s="25">
        <v>405.91248397188849</v>
      </c>
      <c r="AB28" s="25">
        <v>374.27849594666708</v>
      </c>
      <c r="AC28" s="25">
        <v>388.48841069999986</v>
      </c>
      <c r="AD28" s="25">
        <v>357.44670458999963</v>
      </c>
    </row>
    <row r="29" spans="1:30" x14ac:dyDescent="0.2">
      <c r="A29" s="11" t="s">
        <v>43</v>
      </c>
      <c r="B29" s="77"/>
      <c r="C29" s="84" t="s">
        <v>93</v>
      </c>
      <c r="D29" s="77"/>
      <c r="E29" s="82">
        <v>395.20540441999998</v>
      </c>
      <c r="F29" s="82">
        <v>-9.8814109699999975</v>
      </c>
      <c r="G29" s="83" t="str">
        <f t="shared" si="1"/>
        <v>NM</v>
      </c>
      <c r="H29" s="80"/>
      <c r="I29" s="82">
        <v>-1.3350708400000091</v>
      </c>
      <c r="J29" s="82">
        <v>-1.790050630000001</v>
      </c>
      <c r="K29" s="83">
        <f t="shared" si="2"/>
        <v>-0.25417146441270866</v>
      </c>
      <c r="L29" s="80"/>
      <c r="M29" s="82">
        <v>-1.6832491900000006</v>
      </c>
      <c r="N29" s="83">
        <f t="shared" si="0"/>
        <v>-0.20684896334332492</v>
      </c>
      <c r="O29" s="80"/>
      <c r="P29" s="82">
        <v>395.20540441999998</v>
      </c>
      <c r="Q29" s="82">
        <v>-1.3350708400000091</v>
      </c>
      <c r="R29" s="82">
        <v>396.54047525999999</v>
      </c>
      <c r="S29" s="82">
        <v>400.96368844</v>
      </c>
      <c r="T29" s="82">
        <v>-4.4232131800000003</v>
      </c>
      <c r="V29" s="82">
        <v>-12.82363262</v>
      </c>
      <c r="W29" s="82">
        <v>-9.8814109699999975</v>
      </c>
      <c r="X29" s="82">
        <v>-8.1981617799999977</v>
      </c>
      <c r="Z29" s="82">
        <v>-4.3474707200000005</v>
      </c>
      <c r="AA29" s="82">
        <v>-2.9422216500000018</v>
      </c>
      <c r="AB29" s="82">
        <v>-1.6832491900000006</v>
      </c>
      <c r="AC29" s="82">
        <v>-8.0713973699999979</v>
      </c>
      <c r="AD29" s="82">
        <v>-1.03639942</v>
      </c>
    </row>
    <row r="30" spans="1:30" x14ac:dyDescent="0.2">
      <c r="A30" s="11" t="s">
        <v>312</v>
      </c>
      <c r="B30" s="77"/>
      <c r="C30" s="127" t="s">
        <v>322</v>
      </c>
      <c r="D30" s="128"/>
      <c r="E30" s="129">
        <v>-6.8538691999999628</v>
      </c>
      <c r="F30" s="129">
        <v>-9.8814109699999975</v>
      </c>
      <c r="G30" s="130">
        <f t="shared" ref="G30" si="6">IF(ISERROR($E30*F30),"NM",IF($E30*F30&gt;0,IF(E30/F30&gt;2,"NM",E30/F30-1),"NM"))</f>
        <v>-0.30638759780274938</v>
      </c>
      <c r="H30" s="80"/>
      <c r="I30" s="129">
        <v>-1.0113448400000091</v>
      </c>
      <c r="J30" s="129">
        <v>-1.790050630000001</v>
      </c>
      <c r="K30" s="130">
        <f t="shared" ref="K30" si="7">IF(ISERROR($I30*J30),"NM",IF($I30*J30&gt;0,IF(I30/J30&gt;2,"NM",I30/J30-1),"NM"))</f>
        <v>-0.43501886312567117</v>
      </c>
      <c r="L30" s="80"/>
      <c r="M30" s="129">
        <v>-1.6832491900000006</v>
      </c>
      <c r="N30" s="130">
        <f t="shared" ref="N30" si="8">IF(ISERROR($I30*M30),"NM",IF($I30*M30&gt;0,IF(I30/M30&gt;2,"NM",I30/M30-1),"NM"))</f>
        <v>-0.39917105202943315</v>
      </c>
      <c r="O30" s="80"/>
      <c r="P30" s="129">
        <v>-6.8538691999999628</v>
      </c>
      <c r="Q30" s="129">
        <v>-1.0113448400000091</v>
      </c>
      <c r="R30" s="129">
        <v>-5.8425243599999703</v>
      </c>
      <c r="S30" s="129">
        <v>-1.4193111799999656</v>
      </c>
      <c r="T30" s="129">
        <v>-4.4232131800000003</v>
      </c>
      <c r="V30" s="129">
        <v>-12.82363262</v>
      </c>
      <c r="W30" s="129">
        <v>-9.8814109699999975</v>
      </c>
      <c r="X30" s="129">
        <v>-8.1981617799999977</v>
      </c>
      <c r="Z30" s="129">
        <v>-4.3474707200000005</v>
      </c>
      <c r="AA30" s="129">
        <v>-2.9422216500000018</v>
      </c>
      <c r="AB30" s="129">
        <v>-1.6832491900000006</v>
      </c>
      <c r="AC30" s="129">
        <v>-8.0713973699999979</v>
      </c>
      <c r="AD30" s="129">
        <v>-1.03639942</v>
      </c>
    </row>
    <row r="31" spans="1:30" x14ac:dyDescent="0.2">
      <c r="A31" s="11" t="s">
        <v>44</v>
      </c>
      <c r="B31" s="77"/>
      <c r="C31" s="84" t="s">
        <v>319</v>
      </c>
      <c r="D31" s="77"/>
      <c r="E31" s="82">
        <v>99.367411759999982</v>
      </c>
      <c r="F31" s="82">
        <v>94.037801760000008</v>
      </c>
      <c r="G31" s="83">
        <f t="shared" si="1"/>
        <v>5.6675187001946403E-2</v>
      </c>
      <c r="H31" s="80"/>
      <c r="I31" s="82">
        <v>33.679977129999997</v>
      </c>
      <c r="J31" s="82">
        <v>32.70926673000001</v>
      </c>
      <c r="K31" s="83">
        <f t="shared" si="2"/>
        <v>2.9676923301667379E-2</v>
      </c>
      <c r="L31" s="80"/>
      <c r="M31" s="82">
        <v>32.70926673000001</v>
      </c>
      <c r="N31" s="83">
        <f t="shared" si="0"/>
        <v>2.9676923301667379E-2</v>
      </c>
      <c r="O31" s="80"/>
      <c r="P31" s="82">
        <v>99.367411759999982</v>
      </c>
      <c r="Q31" s="82">
        <v>33.679977129999997</v>
      </c>
      <c r="R31" s="82">
        <v>65.687434629999998</v>
      </c>
      <c r="S31" s="82">
        <v>38.162523880000002</v>
      </c>
      <c r="T31" s="82">
        <v>27.524910749999997</v>
      </c>
      <c r="V31" s="82">
        <v>123.34542582</v>
      </c>
      <c r="W31" s="82">
        <v>94.037801760000008</v>
      </c>
      <c r="X31" s="82">
        <v>61.328535029999998</v>
      </c>
      <c r="Z31" s="82">
        <v>27.524910749999997</v>
      </c>
      <c r="AA31" s="82">
        <v>29.307624059999988</v>
      </c>
      <c r="AB31" s="82">
        <v>32.70926673000001</v>
      </c>
      <c r="AC31" s="82">
        <v>32.737092789999998</v>
      </c>
      <c r="AD31" s="82">
        <v>28.591442239999999</v>
      </c>
    </row>
    <row r="32" spans="1:30" x14ac:dyDescent="0.2">
      <c r="A32" s="12" t="s">
        <v>271</v>
      </c>
      <c r="B32" s="77"/>
      <c r="C32" s="84" t="s">
        <v>320</v>
      </c>
      <c r="D32" s="77"/>
      <c r="E32" s="82">
        <v>37.543738450000006</v>
      </c>
      <c r="F32" s="82">
        <v>55.403292549999961</v>
      </c>
      <c r="G32" s="83">
        <f t="shared" si="1"/>
        <v>-0.32235546441363916</v>
      </c>
      <c r="H32" s="80"/>
      <c r="I32" s="82">
        <v>17.726690400000003</v>
      </c>
      <c r="J32" s="82">
        <v>0</v>
      </c>
      <c r="K32" s="83" t="str">
        <f t="shared" si="2"/>
        <v>NM</v>
      </c>
      <c r="L32" s="80"/>
      <c r="M32" s="82">
        <v>23.596237299999999</v>
      </c>
      <c r="N32" s="83">
        <f t="shared" si="0"/>
        <v>-0.24874927410566416</v>
      </c>
      <c r="O32" s="80"/>
      <c r="P32" s="82">
        <v>37.543738450000006</v>
      </c>
      <c r="Q32" s="82">
        <v>17.726690400000003</v>
      </c>
      <c r="R32" s="82">
        <v>19.81704805</v>
      </c>
      <c r="S32" s="82">
        <v>19.81704805</v>
      </c>
      <c r="T32" s="82">
        <v>0</v>
      </c>
      <c r="V32" s="82">
        <v>76.991285688387222</v>
      </c>
      <c r="W32" s="82">
        <v>55.403292549999961</v>
      </c>
      <c r="X32" s="82">
        <v>31.807055249999962</v>
      </c>
      <c r="Z32" s="82">
        <v>17.737972619999987</v>
      </c>
      <c r="AA32" s="82">
        <v>21.587993138387262</v>
      </c>
      <c r="AB32" s="82">
        <v>23.596237299999999</v>
      </c>
      <c r="AC32" s="82">
        <v>31.807055249999962</v>
      </c>
      <c r="AD32" s="82">
        <v>21.442482180000013</v>
      </c>
    </row>
    <row r="33" spans="1:30" x14ac:dyDescent="0.2">
      <c r="A33" s="11" t="s">
        <v>270</v>
      </c>
      <c r="B33" s="77"/>
      <c r="C33" s="127" t="s">
        <v>321</v>
      </c>
      <c r="D33" s="128"/>
      <c r="E33" s="129">
        <v>59.665791640000009</v>
      </c>
      <c r="F33" s="129">
        <v>55.403292549999961</v>
      </c>
      <c r="G33" s="130">
        <f t="shared" ref="G33" si="9">IF(ISERROR($E33*F33),"NM",IF($E33*F33&gt;0,IF(E33/F33&gt;2,"NM",E33/F33-1),"NM"))</f>
        <v>7.6935844312019164E-2</v>
      </c>
      <c r="H33" s="80"/>
      <c r="I33" s="129">
        <v>33.206217520000003</v>
      </c>
      <c r="J33" s="129">
        <v>0</v>
      </c>
      <c r="K33" s="130" t="str">
        <f t="shared" ref="K33" si="10">IF(ISERROR($I33*J33),"NM",IF($I33*J33&gt;0,IF(I33/J33&gt;2,"NM",I33/J33-1),"NM"))</f>
        <v>NM</v>
      </c>
      <c r="L33" s="80"/>
      <c r="M33" s="129">
        <v>23.596237299999999</v>
      </c>
      <c r="N33" s="130">
        <f t="shared" si="0"/>
        <v>0.40726748497312348</v>
      </c>
      <c r="O33" s="80"/>
      <c r="P33" s="129">
        <v>59.665791640000009</v>
      </c>
      <c r="Q33" s="129">
        <v>33.206217520000003</v>
      </c>
      <c r="R33" s="129">
        <v>26.459574120000003</v>
      </c>
      <c r="S33" s="129">
        <v>26.459574120000003</v>
      </c>
      <c r="T33" s="129">
        <v>0</v>
      </c>
      <c r="V33" s="129">
        <v>85.073670882800073</v>
      </c>
      <c r="W33" s="129">
        <v>55.403292549999961</v>
      </c>
      <c r="X33" s="129">
        <v>31.807055249999962</v>
      </c>
      <c r="Z33" s="129">
        <v>21.832562539999984</v>
      </c>
      <c r="AA33" s="129">
        <v>29.670378332800112</v>
      </c>
      <c r="AB33" s="129">
        <v>23.596237299999999</v>
      </c>
      <c r="AC33" s="129">
        <v>31.807055249999962</v>
      </c>
      <c r="AD33" s="129">
        <v>21.442482180000013</v>
      </c>
    </row>
    <row r="34" spans="1:30" ht="12" x14ac:dyDescent="0.25">
      <c r="A34" s="11" t="s">
        <v>49</v>
      </c>
      <c r="B34" s="34"/>
      <c r="C34" s="27" t="s">
        <v>314</v>
      </c>
      <c r="D34" s="34"/>
      <c r="E34" s="24">
        <v>1567.24073894</v>
      </c>
      <c r="F34" s="24">
        <v>1219.3430135399999</v>
      </c>
      <c r="G34" s="21">
        <f t="shared" si="1"/>
        <v>0.28531571636268493</v>
      </c>
      <c r="H34" s="47"/>
      <c r="I34" s="24">
        <v>327.13591709000002</v>
      </c>
      <c r="J34" s="24">
        <v>413.08999711000047</v>
      </c>
      <c r="K34" s="21">
        <f t="shared" si="2"/>
        <v>-0.20807591716415252</v>
      </c>
      <c r="L34" s="47"/>
      <c r="M34" s="24">
        <v>405.15247150000039</v>
      </c>
      <c r="N34" s="21">
        <f t="shared" si="0"/>
        <v>-0.19256097370246528</v>
      </c>
      <c r="O34" s="47"/>
      <c r="P34" s="24">
        <v>1567.24073894</v>
      </c>
      <c r="Q34" s="24">
        <v>327.13591709000002</v>
      </c>
      <c r="R34" s="24">
        <v>1240.1048218500002</v>
      </c>
      <c r="S34" s="24">
        <v>811.04250186000013</v>
      </c>
      <c r="T34" s="24">
        <v>429.06231998999982</v>
      </c>
      <c r="V34" s="24">
        <v>1645.9455974669424</v>
      </c>
      <c r="W34" s="24">
        <v>1219.3430135399999</v>
      </c>
      <c r="X34" s="24">
        <v>814.19054203999951</v>
      </c>
      <c r="Z34" s="24">
        <v>424.51901366000004</v>
      </c>
      <c r="AA34" s="24">
        <v>426.60258392694254</v>
      </c>
      <c r="AB34" s="24">
        <v>405.15247150000039</v>
      </c>
      <c r="AC34" s="24">
        <v>421.23813107999979</v>
      </c>
      <c r="AD34" s="24">
        <v>386.04720688999964</v>
      </c>
    </row>
    <row r="35" spans="1:30" ht="12" x14ac:dyDescent="0.25">
      <c r="A35" s="11" t="s">
        <v>50</v>
      </c>
      <c r="C35" s="18" t="s">
        <v>315</v>
      </c>
      <c r="E35" s="25">
        <v>1339.5565314000003</v>
      </c>
      <c r="F35" s="25">
        <v>1287.2113458166664</v>
      </c>
      <c r="G35" s="26">
        <f t="shared" si="1"/>
        <v>4.0665571938478973E-2</v>
      </c>
      <c r="H35" s="47"/>
      <c r="I35" s="25">
        <v>445.05069607000007</v>
      </c>
      <c r="J35" s="25">
        <v>436.83827639666714</v>
      </c>
      <c r="K35" s="26">
        <f t="shared" si="2"/>
        <v>1.8799679691702931E-2</v>
      </c>
      <c r="L35" s="47"/>
      <c r="M35" s="25">
        <v>428.90075078666706</v>
      </c>
      <c r="N35" s="26">
        <f t="shared" si="0"/>
        <v>3.7654271422261854E-2</v>
      </c>
      <c r="O35" s="47"/>
      <c r="P35" s="25">
        <v>1339.5565314000003</v>
      </c>
      <c r="Q35" s="25">
        <v>445.05069607000007</v>
      </c>
      <c r="R35" s="25">
        <v>894.50583533000031</v>
      </c>
      <c r="S35" s="25">
        <v>436.90794860000017</v>
      </c>
      <c r="T35" s="25">
        <v>457.5978867299998</v>
      </c>
      <c r="V35" s="25">
        <v>1749.1596105313549</v>
      </c>
      <c r="W35" s="25">
        <v>1287.2113458166664</v>
      </c>
      <c r="X35" s="25">
        <v>858.31059502999938</v>
      </c>
      <c r="Z35" s="25">
        <v>451.76155198999999</v>
      </c>
      <c r="AA35" s="25">
        <v>461.94826471468855</v>
      </c>
      <c r="AB35" s="25">
        <v>428.90075078666706</v>
      </c>
      <c r="AC35" s="25">
        <v>444.96116136999984</v>
      </c>
      <c r="AD35" s="25">
        <v>406.44422958999962</v>
      </c>
    </row>
    <row r="36" spans="1:30" x14ac:dyDescent="0.2">
      <c r="A36" s="11" t="s">
        <v>52</v>
      </c>
      <c r="B36" s="77"/>
      <c r="C36" s="84" t="s">
        <v>96</v>
      </c>
      <c r="D36" s="77"/>
      <c r="E36" s="82">
        <v>-323.75282512999996</v>
      </c>
      <c r="F36" s="82">
        <v>-265.60344623999998</v>
      </c>
      <c r="G36" s="83">
        <f t="shared" si="1"/>
        <v>0.21893307377290605</v>
      </c>
      <c r="H36" s="80"/>
      <c r="I36" s="82">
        <v>-79.191882579999998</v>
      </c>
      <c r="J36" s="82">
        <v>-94.182857540000015</v>
      </c>
      <c r="K36" s="83">
        <f t="shared" si="2"/>
        <v>-0.15916882701964374</v>
      </c>
      <c r="L36" s="80"/>
      <c r="M36" s="82">
        <v>-86.24533193000002</v>
      </c>
      <c r="N36" s="83">
        <f t="shared" si="0"/>
        <v>-8.1783549232842812E-2</v>
      </c>
      <c r="O36" s="80"/>
      <c r="P36" s="82">
        <v>-323.75282512999996</v>
      </c>
      <c r="Q36" s="82">
        <v>-79.191882579999998</v>
      </c>
      <c r="R36" s="82">
        <v>-244.56094254999996</v>
      </c>
      <c r="S36" s="82">
        <v>-97.472057489999969</v>
      </c>
      <c r="T36" s="82">
        <v>-147.08888506</v>
      </c>
      <c r="V36" s="82">
        <v>-343.61526091694219</v>
      </c>
      <c r="W36" s="82">
        <v>-265.60344623999998</v>
      </c>
      <c r="X36" s="82">
        <v>-179.35811430999996</v>
      </c>
      <c r="Z36" s="82">
        <v>-142.54557872999999</v>
      </c>
      <c r="AA36" s="82">
        <v>-78.011814676942222</v>
      </c>
      <c r="AB36" s="82">
        <v>-86.24533193000002</v>
      </c>
      <c r="AC36" s="82">
        <v>-88.559820549999955</v>
      </c>
      <c r="AD36" s="82">
        <v>-83.893089690000011</v>
      </c>
    </row>
    <row r="37" spans="1:30" x14ac:dyDescent="0.2">
      <c r="A37" s="11" t="s">
        <v>53</v>
      </c>
      <c r="B37" s="77"/>
      <c r="C37" s="127" t="s">
        <v>97</v>
      </c>
      <c r="D37" s="128"/>
      <c r="E37" s="129">
        <v>-364.55504619999999</v>
      </c>
      <c r="F37" s="129">
        <v>-284.27534944490998</v>
      </c>
      <c r="G37" s="130">
        <f t="shared" si="1"/>
        <v>0.28240118924081203</v>
      </c>
      <c r="H37" s="80"/>
      <c r="I37" s="129">
        <v>-105.75193487</v>
      </c>
      <c r="J37" s="129">
        <v>-100.57683751497001</v>
      </c>
      <c r="K37" s="130">
        <f t="shared" si="2"/>
        <v>5.1454166614253616E-2</v>
      </c>
      <c r="L37" s="80"/>
      <c r="M37" s="129">
        <v>-92.639311904970015</v>
      </c>
      <c r="N37" s="130">
        <f t="shared" si="0"/>
        <v>0.1415449089095242</v>
      </c>
      <c r="O37" s="80"/>
      <c r="P37" s="129">
        <v>-364.55504619999999</v>
      </c>
      <c r="Q37" s="129">
        <v>-105.75193487</v>
      </c>
      <c r="R37" s="129">
        <v>-258.80311132999998</v>
      </c>
      <c r="S37" s="129">
        <v>-103.66600650999997</v>
      </c>
      <c r="T37" s="129">
        <v>-155.13710481999999</v>
      </c>
      <c r="V37" s="129">
        <v>-369.70548991833817</v>
      </c>
      <c r="W37" s="129">
        <v>-284.27534944490998</v>
      </c>
      <c r="X37" s="129">
        <v>-191.63603753993996</v>
      </c>
      <c r="Z37" s="129">
        <v>-149.30077007999998</v>
      </c>
      <c r="AA37" s="129">
        <v>-85.43014047342821</v>
      </c>
      <c r="AB37" s="129">
        <v>-92.639311904970015</v>
      </c>
      <c r="AC37" s="129">
        <v>-95.135171994969951</v>
      </c>
      <c r="AD37" s="129">
        <v>-89.595661474970015</v>
      </c>
    </row>
    <row r="38" spans="1:30" x14ac:dyDescent="0.2">
      <c r="A38" s="11" t="s">
        <v>55</v>
      </c>
      <c r="B38" s="77"/>
      <c r="C38" s="84" t="s">
        <v>99</v>
      </c>
      <c r="D38" s="77"/>
      <c r="E38" s="82">
        <v>2.75210993</v>
      </c>
      <c r="F38" s="82">
        <v>1.9811037200000001</v>
      </c>
      <c r="G38" s="83">
        <f t="shared" si="1"/>
        <v>0.38918013338544433</v>
      </c>
      <c r="H38" s="80"/>
      <c r="I38" s="82">
        <v>0.61955785000000008</v>
      </c>
      <c r="J38" s="82">
        <v>0.84751324000000006</v>
      </c>
      <c r="K38" s="83">
        <f t="shared" si="2"/>
        <v>-0.26896970954695643</v>
      </c>
      <c r="L38" s="80"/>
      <c r="M38" s="82">
        <v>0.84751324000000006</v>
      </c>
      <c r="N38" s="83">
        <f t="shared" si="0"/>
        <v>-0.26896970954695643</v>
      </c>
      <c r="O38" s="80"/>
      <c r="P38" s="82">
        <v>2.75210993</v>
      </c>
      <c r="Q38" s="82">
        <v>0.61955785000000008</v>
      </c>
      <c r="R38" s="82">
        <v>2.13255208</v>
      </c>
      <c r="S38" s="82">
        <v>1.2158649500000001</v>
      </c>
      <c r="T38" s="82">
        <v>0.91668713000000002</v>
      </c>
      <c r="V38" s="82">
        <v>2.7913310100000008</v>
      </c>
      <c r="W38" s="82">
        <v>1.9811037200000001</v>
      </c>
      <c r="X38" s="82">
        <v>1.1335904800000001</v>
      </c>
      <c r="Z38" s="82">
        <v>0.91668713000000002</v>
      </c>
      <c r="AA38" s="82">
        <v>0.81022729000000071</v>
      </c>
      <c r="AB38" s="82">
        <v>0.84751324000000006</v>
      </c>
      <c r="AC38" s="82">
        <v>0.33140102000000016</v>
      </c>
      <c r="AD38" s="82">
        <v>0.80218945999999991</v>
      </c>
    </row>
    <row r="39" spans="1:30" ht="12" x14ac:dyDescent="0.25">
      <c r="A39" s="11" t="s">
        <v>56</v>
      </c>
      <c r="B39" s="34"/>
      <c r="C39" s="27" t="s">
        <v>100</v>
      </c>
      <c r="D39" s="34"/>
      <c r="E39" s="24">
        <v>1246.24002374</v>
      </c>
      <c r="F39" s="24">
        <v>955.72067101999994</v>
      </c>
      <c r="G39" s="21">
        <f t="shared" si="1"/>
        <v>0.30397935456386138</v>
      </c>
      <c r="H39" s="47"/>
      <c r="I39" s="24">
        <v>248.56359236000003</v>
      </c>
      <c r="J39" s="24">
        <v>319.75465281000049</v>
      </c>
      <c r="K39" s="21">
        <f t="shared" si="2"/>
        <v>-0.22264276633466995</v>
      </c>
      <c r="L39" s="47"/>
      <c r="M39" s="24">
        <v>319.75465281000038</v>
      </c>
      <c r="N39" s="21">
        <f t="shared" si="0"/>
        <v>-0.22264276633466973</v>
      </c>
      <c r="O39" s="47"/>
      <c r="P39" s="24">
        <v>1246.24002374</v>
      </c>
      <c r="Q39" s="24">
        <v>248.56359236000003</v>
      </c>
      <c r="R39" s="24">
        <v>997.67643138000028</v>
      </c>
      <c r="S39" s="24">
        <v>714.7863093200001</v>
      </c>
      <c r="T39" s="24">
        <v>282.89012205999984</v>
      </c>
      <c r="V39" s="24">
        <v>1305.1216675600003</v>
      </c>
      <c r="W39" s="24">
        <v>955.72067101999994</v>
      </c>
      <c r="X39" s="24">
        <v>635.96601820999956</v>
      </c>
      <c r="Z39" s="24">
        <v>282.89012206000007</v>
      </c>
      <c r="AA39" s="24">
        <v>349.40099654000034</v>
      </c>
      <c r="AB39" s="24">
        <v>319.75465281000038</v>
      </c>
      <c r="AC39" s="24">
        <v>333.00971154999985</v>
      </c>
      <c r="AD39" s="24">
        <v>302.95630665999965</v>
      </c>
    </row>
    <row r="40" spans="1:30" ht="12" x14ac:dyDescent="0.2">
      <c r="A40" s="11" t="s">
        <v>57</v>
      </c>
      <c r="B40" s="20"/>
      <c r="C40" s="19" t="s">
        <v>101</v>
      </c>
      <c r="D40" s="20"/>
      <c r="E40" s="25">
        <v>977.75359513000001</v>
      </c>
      <c r="F40" s="25">
        <v>1004.9171000917564</v>
      </c>
      <c r="G40" s="26">
        <f t="shared" si="1"/>
        <v>-2.7030592831265521E-2</v>
      </c>
      <c r="H40" s="47"/>
      <c r="I40" s="25">
        <v>339.91831905000004</v>
      </c>
      <c r="J40" s="25">
        <v>337.10895212169714</v>
      </c>
      <c r="K40" s="26">
        <f t="shared" si="2"/>
        <v>8.3337060930044338E-3</v>
      </c>
      <c r="L40" s="47"/>
      <c r="M40" s="25">
        <v>337.10895212169703</v>
      </c>
      <c r="N40" s="26">
        <f t="shared" si="0"/>
        <v>8.3337060930046558E-3</v>
      </c>
      <c r="O40" s="47"/>
      <c r="P40" s="25">
        <v>977.75359513000001</v>
      </c>
      <c r="Q40" s="25">
        <v>339.91831905000004</v>
      </c>
      <c r="R40" s="25">
        <v>637.83527608000031</v>
      </c>
      <c r="S40" s="25">
        <v>334.45780704000015</v>
      </c>
      <c r="T40" s="25">
        <v>303.37746903999982</v>
      </c>
      <c r="V40" s="25">
        <v>1382.2454516230168</v>
      </c>
      <c r="W40" s="25">
        <v>1004.9171000917564</v>
      </c>
      <c r="X40" s="25">
        <v>667.80814797005939</v>
      </c>
      <c r="Z40" s="25">
        <v>303.37746904000005</v>
      </c>
      <c r="AA40" s="25">
        <v>377.32835153126035</v>
      </c>
      <c r="AB40" s="25">
        <v>337.10895212169703</v>
      </c>
      <c r="AC40" s="25">
        <v>350.15739039502989</v>
      </c>
      <c r="AD40" s="25">
        <v>317.65075757502962</v>
      </c>
    </row>
    <row r="41" spans="1:30" x14ac:dyDescent="0.2">
      <c r="A41" s="11"/>
      <c r="C41" s="41"/>
      <c r="E41" s="13"/>
      <c r="F41" s="13"/>
      <c r="G41" s="54"/>
      <c r="H41" s="43"/>
      <c r="I41" s="13"/>
      <c r="J41" s="13"/>
      <c r="K41" s="54"/>
      <c r="L41" s="43"/>
      <c r="M41" s="13"/>
      <c r="N41" s="54"/>
      <c r="O41" s="43"/>
      <c r="P41" s="13"/>
      <c r="Q41" s="13"/>
      <c r="R41" s="13"/>
      <c r="S41" s="13"/>
      <c r="T41" s="13"/>
      <c r="V41" s="13"/>
      <c r="W41" s="13"/>
      <c r="X41" s="13"/>
      <c r="Z41" s="13"/>
      <c r="AA41" s="13"/>
      <c r="AB41" s="13"/>
      <c r="AC41" s="13"/>
      <c r="AD41" s="13"/>
    </row>
    <row r="42" spans="1:30" x14ac:dyDescent="0.2">
      <c r="A42" s="11"/>
      <c r="C42" s="41"/>
      <c r="E42" s="13"/>
      <c r="F42" s="13"/>
      <c r="G42" s="54"/>
      <c r="H42" s="43"/>
      <c r="I42" s="13"/>
      <c r="J42" s="13"/>
      <c r="K42" s="54"/>
      <c r="L42" s="43"/>
      <c r="M42" s="13"/>
      <c r="N42" s="54"/>
      <c r="O42" s="43"/>
      <c r="P42" s="13"/>
      <c r="Q42" s="13"/>
      <c r="R42" s="13"/>
      <c r="S42" s="13"/>
      <c r="T42" s="13"/>
      <c r="V42" s="13"/>
      <c r="W42" s="13"/>
      <c r="X42" s="13"/>
      <c r="Z42" s="13"/>
      <c r="AA42" s="13"/>
      <c r="AB42" s="13"/>
      <c r="AC42" s="13"/>
      <c r="AD42" s="13"/>
    </row>
    <row r="43" spans="1:30" ht="12" x14ac:dyDescent="0.25">
      <c r="A43" s="11"/>
      <c r="C43" s="39" t="s">
        <v>76</v>
      </c>
      <c r="E43" s="40"/>
      <c r="F43" s="40"/>
      <c r="G43" s="55"/>
      <c r="H43" s="44"/>
      <c r="I43" s="40"/>
      <c r="J43" s="40"/>
      <c r="K43" s="55"/>
      <c r="L43" s="44"/>
      <c r="M43" s="40"/>
      <c r="N43" s="55"/>
      <c r="O43" s="44"/>
      <c r="P43" s="40"/>
      <c r="Q43" s="40"/>
      <c r="R43" s="40"/>
      <c r="S43" s="40"/>
      <c r="T43" s="40"/>
      <c r="V43" s="40"/>
      <c r="W43" s="40"/>
      <c r="X43" s="40"/>
      <c r="Z43" s="40"/>
      <c r="AA43" s="40"/>
      <c r="AB43" s="40"/>
      <c r="AC43" s="40"/>
      <c r="AD43" s="40"/>
    </row>
    <row r="44" spans="1:30" x14ac:dyDescent="0.2">
      <c r="A44" s="11" t="s">
        <v>59</v>
      </c>
      <c r="B44" s="77"/>
      <c r="C44" s="84" t="s">
        <v>323</v>
      </c>
      <c r="D44" s="77"/>
      <c r="E44" s="82">
        <v>-55.005561999999998</v>
      </c>
      <c r="F44" s="82">
        <v>-65.001665610000003</v>
      </c>
      <c r="G44" s="83">
        <f t="shared" si="1"/>
        <v>-0.15378226874946699</v>
      </c>
      <c r="H44" s="80"/>
      <c r="I44" s="82">
        <v>-18.349339000000001</v>
      </c>
      <c r="J44" s="82">
        <v>-22.314612619999998</v>
      </c>
      <c r="K44" s="83">
        <f t="shared" si="2"/>
        <v>-0.17769851924052793</v>
      </c>
      <c r="L44" s="80"/>
      <c r="M44" s="82">
        <v>-22.314612619999998</v>
      </c>
      <c r="N44" s="83">
        <f t="shared" ref="N44:N56" si="11">IF(ISERROR($I44*M44),"NM",IF($I44*M44&gt;0,IF(I44/M44&gt;2,"NM",I44/M44-1),"NM"))</f>
        <v>-0.17769851924052793</v>
      </c>
      <c r="O44" s="80"/>
      <c r="P44" s="82">
        <v>-55.005561999999998</v>
      </c>
      <c r="Q44" s="82">
        <v>-18.349339000000001</v>
      </c>
      <c r="R44" s="82">
        <v>-36.656222999999997</v>
      </c>
      <c r="S44" s="82">
        <v>-18.341920519999999</v>
      </c>
      <c r="T44" s="82">
        <v>-18.314302480000002</v>
      </c>
      <c r="V44" s="82">
        <v>-87.332927460000008</v>
      </c>
      <c r="W44" s="82">
        <v>-65.001665610000003</v>
      </c>
      <c r="X44" s="82">
        <v>-42.687052989999998</v>
      </c>
      <c r="Z44" s="82">
        <v>-18.314302480000002</v>
      </c>
      <c r="AA44" s="82">
        <v>-22.331261849999997</v>
      </c>
      <c r="AB44" s="82">
        <v>-22.314612619999998</v>
      </c>
      <c r="AC44" s="82">
        <v>-22.290030289999997</v>
      </c>
      <c r="AD44" s="82">
        <v>-20.397022700000001</v>
      </c>
    </row>
    <row r="45" spans="1:30" x14ac:dyDescent="0.2">
      <c r="A45" s="11" t="s">
        <v>60</v>
      </c>
      <c r="B45" s="77"/>
      <c r="C45" s="84" t="s">
        <v>313</v>
      </c>
      <c r="D45" s="77"/>
      <c r="E45" s="82">
        <v>-4.4249999999999998</v>
      </c>
      <c r="F45" s="82">
        <v>-2.8666666666666667</v>
      </c>
      <c r="G45" s="83">
        <f t="shared" si="1"/>
        <v>0.54360465116279055</v>
      </c>
      <c r="H45" s="80"/>
      <c r="I45" s="82">
        <v>-1.4749999999999999</v>
      </c>
      <c r="J45" s="82">
        <v>-1.4336666666666666</v>
      </c>
      <c r="K45" s="83">
        <f t="shared" si="2"/>
        <v>2.8830504533829293E-2</v>
      </c>
      <c r="L45" s="80"/>
      <c r="M45" s="82">
        <v>-1.4336666666666666</v>
      </c>
      <c r="N45" s="83">
        <f t="shared" si="11"/>
        <v>2.8830504533829293E-2</v>
      </c>
      <c r="O45" s="80"/>
      <c r="P45" s="82">
        <v>-4.4249999999999998</v>
      </c>
      <c r="Q45" s="82">
        <v>-1.4749999999999999</v>
      </c>
      <c r="R45" s="82">
        <v>-2.95</v>
      </c>
      <c r="S45" s="82">
        <v>-1.4749997699999999</v>
      </c>
      <c r="T45" s="82">
        <v>-1.47500023</v>
      </c>
      <c r="V45" s="82">
        <v>-4.3</v>
      </c>
      <c r="W45" s="82">
        <v>-2.8666666666666667</v>
      </c>
      <c r="X45" s="82">
        <v>-1.4330000000000001</v>
      </c>
      <c r="Z45" s="82">
        <v>-1.47500023</v>
      </c>
      <c r="AA45" s="82">
        <v>-1.4333333333333331</v>
      </c>
      <c r="AB45" s="82">
        <v>-1.4336666666666666</v>
      </c>
      <c r="AC45" s="82">
        <v>-1.4330000000000001</v>
      </c>
      <c r="AD45" s="82">
        <v>0</v>
      </c>
    </row>
    <row r="46" spans="1:30" x14ac:dyDescent="0.2">
      <c r="A46" s="11" t="s">
        <v>61</v>
      </c>
      <c r="B46" s="77"/>
      <c r="C46" s="127" t="s">
        <v>103</v>
      </c>
      <c r="D46" s="77"/>
      <c r="E46" s="129">
        <v>16.806423910000003</v>
      </c>
      <c r="F46" s="129">
        <v>18.671903204910002</v>
      </c>
      <c r="G46" s="130">
        <f t="shared" si="1"/>
        <v>-9.9908363621949881E-2</v>
      </c>
      <c r="H46" s="80"/>
      <c r="I46" s="129">
        <v>5.6047576300000017</v>
      </c>
      <c r="J46" s="129">
        <v>6.3939799749699997</v>
      </c>
      <c r="K46" s="130">
        <f t="shared" si="2"/>
        <v>-0.12343209519884379</v>
      </c>
      <c r="L46" s="80"/>
      <c r="M46" s="129">
        <v>6.3939799749699997</v>
      </c>
      <c r="N46" s="130">
        <f t="shared" si="11"/>
        <v>-0.12343209519884379</v>
      </c>
      <c r="O46" s="80"/>
      <c r="P46" s="129">
        <v>16.806423910000003</v>
      </c>
      <c r="Q46" s="129">
        <v>5.6047576300000017</v>
      </c>
      <c r="R46" s="129">
        <v>11.201666280000001</v>
      </c>
      <c r="S46" s="129">
        <v>5.0139492199999998</v>
      </c>
      <c r="T46" s="129">
        <v>6.1877170600000007</v>
      </c>
      <c r="V46" s="129">
        <v>25.125968379880003</v>
      </c>
      <c r="W46" s="129">
        <v>18.671903204910002</v>
      </c>
      <c r="X46" s="129">
        <v>12.277923229940001</v>
      </c>
      <c r="Z46" s="129">
        <v>6.1877170600000007</v>
      </c>
      <c r="AA46" s="129">
        <v>6.4540651749700002</v>
      </c>
      <c r="AB46" s="129">
        <v>6.3939799749699997</v>
      </c>
      <c r="AC46" s="129">
        <v>6.5753514449699999</v>
      </c>
      <c r="AD46" s="129">
        <v>5.7025717849699999</v>
      </c>
    </row>
    <row r="47" spans="1:30" ht="12" x14ac:dyDescent="0.25">
      <c r="A47" s="11" t="s">
        <v>62</v>
      </c>
      <c r="C47" s="18" t="s">
        <v>104</v>
      </c>
      <c r="E47" s="25">
        <v>-42.624138089999988</v>
      </c>
      <c r="F47" s="25">
        <v>-49.196429071756661</v>
      </c>
      <c r="G47" s="26">
        <f t="shared" si="1"/>
        <v>-0.13359284618341905</v>
      </c>
      <c r="H47" s="47"/>
      <c r="I47" s="25">
        <v>-14.21958137</v>
      </c>
      <c r="J47" s="25">
        <v>-17.354299311696664</v>
      </c>
      <c r="K47" s="26">
        <f t="shared" si="2"/>
        <v>-0.18063062561009813</v>
      </c>
      <c r="L47" s="47"/>
      <c r="M47" s="25">
        <v>-17.354299311696664</v>
      </c>
      <c r="N47" s="26">
        <f t="shared" si="11"/>
        <v>-0.18063062561009813</v>
      </c>
      <c r="O47" s="47"/>
      <c r="P47" s="25">
        <v>-42.624138089999988</v>
      </c>
      <c r="Q47" s="25">
        <v>-14.21958137</v>
      </c>
      <c r="R47" s="25">
        <v>-28.404556719999999</v>
      </c>
      <c r="S47" s="25">
        <v>-14.802971069999998</v>
      </c>
      <c r="T47" s="25">
        <v>-14.20158565</v>
      </c>
      <c r="V47" s="25">
        <v>-66.506959080119998</v>
      </c>
      <c r="W47" s="25">
        <v>-49.196429071756661</v>
      </c>
      <c r="X47" s="25">
        <v>-31.842129760059997</v>
      </c>
      <c r="Z47" s="25">
        <v>-13.601585650000001</v>
      </c>
      <c r="AA47" s="25">
        <v>-17.31053000836333</v>
      </c>
      <c r="AB47" s="25">
        <v>-17.354299311696664</v>
      </c>
      <c r="AC47" s="25">
        <v>-17.147678845029997</v>
      </c>
      <c r="AD47" s="25">
        <v>-14.69445091503</v>
      </c>
    </row>
    <row r="48" spans="1:30" x14ac:dyDescent="0.2">
      <c r="A48" s="11" t="s">
        <v>63</v>
      </c>
      <c r="B48" s="77"/>
      <c r="C48" s="84" t="s">
        <v>324</v>
      </c>
      <c r="D48" s="77"/>
      <c r="E48" s="82">
        <v>-87.457450890000018</v>
      </c>
      <c r="F48" s="82">
        <v>0</v>
      </c>
      <c r="G48" s="83" t="str">
        <f t="shared" si="1"/>
        <v>NM</v>
      </c>
      <c r="H48" s="80"/>
      <c r="I48" s="82">
        <v>-80.499186860000023</v>
      </c>
      <c r="J48" s="82">
        <v>0</v>
      </c>
      <c r="K48" s="83" t="str">
        <f t="shared" si="2"/>
        <v>NM</v>
      </c>
      <c r="L48" s="80"/>
      <c r="M48" s="82">
        <v>0</v>
      </c>
      <c r="N48" s="83" t="str">
        <f t="shared" si="11"/>
        <v>NM</v>
      </c>
      <c r="O48" s="80"/>
      <c r="P48" s="82">
        <v>-87.457450890000018</v>
      </c>
      <c r="Q48" s="82">
        <v>-80.499186860000023</v>
      </c>
      <c r="R48" s="82">
        <v>-6.9582640300000005</v>
      </c>
      <c r="S48" s="82">
        <v>0</v>
      </c>
      <c r="T48" s="82">
        <v>-6.9582640299999996</v>
      </c>
      <c r="V48" s="82">
        <v>-2.3064670766666229</v>
      </c>
      <c r="W48" s="82">
        <v>0</v>
      </c>
      <c r="X48" s="82">
        <v>0</v>
      </c>
      <c r="Z48" s="82">
        <v>-1.5706457</v>
      </c>
      <c r="AA48" s="82">
        <v>-2.3064670766666229</v>
      </c>
      <c r="AB48" s="82">
        <v>0</v>
      </c>
      <c r="AC48" s="82">
        <v>0</v>
      </c>
      <c r="AD48" s="82">
        <v>0</v>
      </c>
    </row>
    <row r="49" spans="1:30" x14ac:dyDescent="0.2">
      <c r="A49" s="235" t="s">
        <v>250</v>
      </c>
      <c r="B49" s="77"/>
      <c r="C49" s="84" t="s">
        <v>325</v>
      </c>
      <c r="D49" s="77"/>
      <c r="E49" s="82">
        <v>-5.3649999999999993</v>
      </c>
      <c r="F49" s="82">
        <v>0</v>
      </c>
      <c r="G49" s="83" t="str">
        <f t="shared" si="1"/>
        <v>NM</v>
      </c>
      <c r="H49" s="80"/>
      <c r="I49" s="82">
        <v>-1.788</v>
      </c>
      <c r="J49" s="82">
        <v>0</v>
      </c>
      <c r="K49" s="83" t="str">
        <f t="shared" si="2"/>
        <v>NM</v>
      </c>
      <c r="L49" s="80"/>
      <c r="M49" s="82">
        <v>0</v>
      </c>
      <c r="N49" s="83" t="str">
        <f t="shared" si="11"/>
        <v>NM</v>
      </c>
      <c r="O49" s="80"/>
      <c r="P49" s="82">
        <v>-5.3649999999999993</v>
      </c>
      <c r="Q49" s="82">
        <v>-1.788</v>
      </c>
      <c r="R49" s="82">
        <v>-3.5769999999999995</v>
      </c>
      <c r="S49" s="82">
        <v>-1.7889999999999997</v>
      </c>
      <c r="T49" s="82">
        <v>-1.7879999999999998</v>
      </c>
      <c r="V49" s="82">
        <v>-1.1922333333333333</v>
      </c>
      <c r="W49" s="82">
        <v>0</v>
      </c>
      <c r="X49" s="82">
        <v>0</v>
      </c>
      <c r="Z49" s="82">
        <v>-1.7879999999999998</v>
      </c>
      <c r="AA49" s="82">
        <v>-1.1922333333333333</v>
      </c>
      <c r="AB49" s="82">
        <v>0</v>
      </c>
      <c r="AC49" s="82">
        <v>0</v>
      </c>
      <c r="AD49" s="82">
        <v>0</v>
      </c>
    </row>
    <row r="50" spans="1:30" x14ac:dyDescent="0.2">
      <c r="A50" s="11" t="s">
        <v>64</v>
      </c>
      <c r="B50" s="77"/>
      <c r="C50" s="127" t="s">
        <v>326</v>
      </c>
      <c r="D50" s="77"/>
      <c r="E50" s="129">
        <v>23.995797160000002</v>
      </c>
      <c r="F50" s="129">
        <v>0</v>
      </c>
      <c r="G50" s="130" t="str">
        <f t="shared" si="1"/>
        <v>NM</v>
      </c>
      <c r="H50" s="80"/>
      <c r="I50" s="129">
        <v>20.955294660000003</v>
      </c>
      <c r="J50" s="129">
        <v>0</v>
      </c>
      <c r="K50" s="130" t="str">
        <f t="shared" si="2"/>
        <v>NM</v>
      </c>
      <c r="L50" s="80"/>
      <c r="M50" s="129">
        <v>0</v>
      </c>
      <c r="N50" s="130" t="str">
        <f t="shared" si="11"/>
        <v>NM</v>
      </c>
      <c r="O50" s="80"/>
      <c r="P50" s="129">
        <v>23.995797160000002</v>
      </c>
      <c r="Q50" s="129">
        <v>20.955294660000003</v>
      </c>
      <c r="R50" s="129">
        <v>3.0405024999999997</v>
      </c>
      <c r="S50" s="129">
        <v>1.1799998</v>
      </c>
      <c r="T50" s="129">
        <v>1.8605026999999998</v>
      </c>
      <c r="V50" s="129">
        <v>0.96426062151598879</v>
      </c>
      <c r="W50" s="129">
        <v>0</v>
      </c>
      <c r="X50" s="129">
        <v>0</v>
      </c>
      <c r="Z50" s="129">
        <v>0.56747428999999916</v>
      </c>
      <c r="AA50" s="129">
        <v>0.96426062151598879</v>
      </c>
      <c r="AB50" s="129">
        <v>0</v>
      </c>
      <c r="AC50" s="129">
        <v>0</v>
      </c>
      <c r="AD50" s="129">
        <v>0</v>
      </c>
    </row>
    <row r="51" spans="1:30" ht="12" x14ac:dyDescent="0.25">
      <c r="A51" s="11" t="s">
        <v>65</v>
      </c>
      <c r="C51" s="18" t="s">
        <v>327</v>
      </c>
      <c r="E51" s="25">
        <v>-68.826653730000004</v>
      </c>
      <c r="F51" s="25">
        <v>0</v>
      </c>
      <c r="G51" s="26" t="str">
        <f t="shared" si="1"/>
        <v>NM</v>
      </c>
      <c r="H51" s="47"/>
      <c r="I51" s="25">
        <v>-61.331892200000013</v>
      </c>
      <c r="J51" s="25">
        <v>0</v>
      </c>
      <c r="K51" s="26" t="str">
        <f t="shared" si="2"/>
        <v>NM</v>
      </c>
      <c r="L51" s="47"/>
      <c r="M51" s="25">
        <v>0</v>
      </c>
      <c r="N51" s="26" t="str">
        <f t="shared" si="11"/>
        <v>NM</v>
      </c>
      <c r="O51" s="47"/>
      <c r="P51" s="25">
        <v>-68.826653730000004</v>
      </c>
      <c r="Q51" s="25">
        <v>-61.331892200000013</v>
      </c>
      <c r="R51" s="25">
        <v>-7.4947615300000008</v>
      </c>
      <c r="S51" s="25">
        <v>-0.60900019999999966</v>
      </c>
      <c r="T51" s="25">
        <v>-6.2857613300000015</v>
      </c>
      <c r="V51" s="25">
        <v>-2.5344397884839687</v>
      </c>
      <c r="W51" s="25">
        <v>0</v>
      </c>
      <c r="X51" s="25">
        <v>0</v>
      </c>
      <c r="Z51" s="25">
        <v>-2.7911714100000005</v>
      </c>
      <c r="AA51" s="25">
        <v>-2.5344397884839687</v>
      </c>
      <c r="AB51" s="25">
        <v>0</v>
      </c>
      <c r="AC51" s="25">
        <v>0</v>
      </c>
      <c r="AD51" s="25">
        <v>0</v>
      </c>
    </row>
    <row r="52" spans="1:30" ht="12" x14ac:dyDescent="0.25">
      <c r="A52" s="11" t="s">
        <v>62</v>
      </c>
      <c r="C52" s="18" t="s">
        <v>104</v>
      </c>
      <c r="E52" s="25">
        <v>-42.624138089999988</v>
      </c>
      <c r="F52" s="25">
        <v>-49.196429071756661</v>
      </c>
      <c r="G52" s="26">
        <f t="shared" ref="G52:G53" si="12">IF(ISERROR($E52*F52),"NM",IF($E52*F52&gt;0,IF(E52/F52&gt;2,"NM",E52/F52-1),"NM"))</f>
        <v>-0.13359284618341905</v>
      </c>
      <c r="H52" s="47"/>
      <c r="I52" s="25">
        <v>-14.21958137</v>
      </c>
      <c r="J52" s="25">
        <v>-17.354299311696664</v>
      </c>
      <c r="K52" s="26">
        <f t="shared" ref="K52:K53" si="13">IF(ISERROR($I52*J52),"NM",IF($I52*J52&gt;0,IF(I52/J52&gt;2,"NM",I52/J52-1),"NM"))</f>
        <v>-0.18063062561009813</v>
      </c>
      <c r="L52" s="47"/>
      <c r="M52" s="25">
        <v>-17.354299311696664</v>
      </c>
      <c r="N52" s="26">
        <f t="shared" ref="N52:N53" si="14">IF(ISERROR($I52*M52),"NM",IF($I52*M52&gt;0,IF(I52/M52&gt;2,"NM",I52/M52-1),"NM"))</f>
        <v>-0.18063062561009813</v>
      </c>
      <c r="O52" s="47"/>
      <c r="P52" s="25">
        <v>-42.624138089999988</v>
      </c>
      <c r="Q52" s="25">
        <v>-14.21958137</v>
      </c>
      <c r="R52" s="25">
        <v>-28.404556719999999</v>
      </c>
      <c r="S52" s="25">
        <v>-14.802971069999998</v>
      </c>
      <c r="T52" s="25">
        <v>-14.20158565</v>
      </c>
      <c r="V52" s="25">
        <v>-66.506959080119998</v>
      </c>
      <c r="W52" s="25">
        <v>-49.196429071756661</v>
      </c>
      <c r="X52" s="25">
        <v>-31.842129760059997</v>
      </c>
      <c r="Z52" s="25">
        <v>-13.601585650000001</v>
      </c>
      <c r="AA52" s="25">
        <v>-17.31053000836333</v>
      </c>
      <c r="AB52" s="25">
        <v>-17.354299311696664</v>
      </c>
      <c r="AC52" s="25">
        <v>-17.147678845029997</v>
      </c>
      <c r="AD52" s="25">
        <v>-14.69445091503</v>
      </c>
    </row>
    <row r="53" spans="1:30" ht="12" x14ac:dyDescent="0.25">
      <c r="A53" s="12" t="s">
        <v>272</v>
      </c>
      <c r="C53" s="18" t="s">
        <v>273</v>
      </c>
      <c r="D53" s="77"/>
      <c r="E53" s="25">
        <v>-22.122053190000003</v>
      </c>
      <c r="F53" s="25">
        <v>0</v>
      </c>
      <c r="G53" s="26" t="str">
        <f t="shared" si="12"/>
        <v>NM</v>
      </c>
      <c r="H53" s="47"/>
      <c r="I53" s="25">
        <v>-15.47952712</v>
      </c>
      <c r="J53" s="25">
        <v>0</v>
      </c>
      <c r="K53" s="26" t="str">
        <f t="shared" si="13"/>
        <v>NM</v>
      </c>
      <c r="L53" s="47"/>
      <c r="M53" s="25">
        <v>0</v>
      </c>
      <c r="N53" s="26" t="str">
        <f t="shared" si="14"/>
        <v>NM</v>
      </c>
      <c r="O53" s="47"/>
      <c r="P53" s="25">
        <v>-22.122053190000003</v>
      </c>
      <c r="Q53" s="25">
        <v>-15.47952712</v>
      </c>
      <c r="R53" s="25">
        <v>-6.6425260700000024</v>
      </c>
      <c r="S53" s="25">
        <v>-6.6425260700000024</v>
      </c>
      <c r="T53" s="25">
        <v>0</v>
      </c>
      <c r="V53" s="25">
        <v>0</v>
      </c>
      <c r="W53" s="25">
        <v>0</v>
      </c>
      <c r="X53" s="25">
        <v>0</v>
      </c>
      <c r="Z53" s="25">
        <v>-4.0945899199999971</v>
      </c>
      <c r="AA53" s="25">
        <v>0</v>
      </c>
      <c r="AB53" s="25">
        <v>0</v>
      </c>
      <c r="AC53" s="25">
        <v>0</v>
      </c>
      <c r="AD53" s="25">
        <v>0</v>
      </c>
    </row>
    <row r="54" spans="1:30" x14ac:dyDescent="0.2">
      <c r="A54" s="235" t="s">
        <v>274</v>
      </c>
      <c r="B54" s="77"/>
      <c r="C54" s="84" t="s">
        <v>275</v>
      </c>
      <c r="D54" s="77"/>
      <c r="E54" s="363">
        <v>402.05927361999994</v>
      </c>
      <c r="F54" s="82">
        <v>0</v>
      </c>
      <c r="G54" s="83" t="str">
        <f t="shared" si="1"/>
        <v>NM</v>
      </c>
      <c r="H54" s="80"/>
      <c r="I54" s="82">
        <v>-0.32372600000000001</v>
      </c>
      <c r="J54" s="82">
        <v>0</v>
      </c>
      <c r="K54" s="83" t="str">
        <f t="shared" si="2"/>
        <v>NM</v>
      </c>
      <c r="L54" s="80"/>
      <c r="M54" s="82">
        <v>0</v>
      </c>
      <c r="N54" s="83" t="str">
        <f t="shared" si="11"/>
        <v>NM</v>
      </c>
      <c r="O54" s="80"/>
      <c r="P54" s="82">
        <v>402.05927361999994</v>
      </c>
      <c r="Q54" s="82">
        <v>-0.32372600000000001</v>
      </c>
      <c r="R54" s="82">
        <v>402.38299961999996</v>
      </c>
      <c r="S54" s="82">
        <v>402.38299961999996</v>
      </c>
      <c r="T54" s="82">
        <v>0</v>
      </c>
      <c r="V54" s="82">
        <v>0</v>
      </c>
      <c r="W54" s="82">
        <v>0</v>
      </c>
      <c r="X54" s="82">
        <v>0</v>
      </c>
      <c r="Z54" s="82">
        <v>0</v>
      </c>
      <c r="AA54" s="82">
        <v>0</v>
      </c>
      <c r="AB54" s="82">
        <v>0</v>
      </c>
      <c r="AC54" s="82">
        <v>0</v>
      </c>
      <c r="AD54" s="82">
        <v>0</v>
      </c>
    </row>
    <row r="55" spans="1:30" ht="12" x14ac:dyDescent="0.25">
      <c r="A55" s="11" t="s">
        <v>67</v>
      </c>
      <c r="C55" s="27" t="s">
        <v>108</v>
      </c>
      <c r="E55" s="28">
        <v>40.802221070000002</v>
      </c>
      <c r="F55" s="28">
        <v>18.671903204910002</v>
      </c>
      <c r="G55" s="56" t="str">
        <f t="shared" si="1"/>
        <v>NM</v>
      </c>
      <c r="H55" s="49"/>
      <c r="I55" s="28">
        <v>26.560052290000005</v>
      </c>
      <c r="J55" s="28">
        <v>6.3939799749699997</v>
      </c>
      <c r="K55" s="56" t="str">
        <f t="shared" si="2"/>
        <v>NM</v>
      </c>
      <c r="L55" s="49"/>
      <c r="M55" s="28">
        <v>6.3939799749699997</v>
      </c>
      <c r="N55" s="56" t="str">
        <f t="shared" si="11"/>
        <v>NM</v>
      </c>
      <c r="O55" s="49"/>
      <c r="P55" s="28">
        <v>40.802221070000002</v>
      </c>
      <c r="Q55" s="28">
        <v>26.560052290000005</v>
      </c>
      <c r="R55" s="28">
        <v>14.24216878</v>
      </c>
      <c r="S55" s="28">
        <v>6.1939490199999998</v>
      </c>
      <c r="T55" s="28">
        <v>8.0482197600000003</v>
      </c>
      <c r="V55" s="28">
        <v>26.09022900139599</v>
      </c>
      <c r="W55" s="28">
        <v>18.671903204910002</v>
      </c>
      <c r="X55" s="28">
        <v>12.277923229940001</v>
      </c>
      <c r="Z55" s="28">
        <v>6.7551913499999996</v>
      </c>
      <c r="AA55" s="28">
        <v>7.4183257964859894</v>
      </c>
      <c r="AB55" s="28">
        <v>6.3939799749699997</v>
      </c>
      <c r="AC55" s="28">
        <v>6.5753514449699999</v>
      </c>
      <c r="AD55" s="28">
        <v>5.7025717849699999</v>
      </c>
    </row>
    <row r="56" spans="1:30" ht="12" x14ac:dyDescent="0.25">
      <c r="A56" s="11" t="s">
        <v>68</v>
      </c>
      <c r="C56" s="32" t="s">
        <v>109</v>
      </c>
      <c r="E56" s="33">
        <v>268.48642860999996</v>
      </c>
      <c r="F56" s="33">
        <v>-49.196429071756661</v>
      </c>
      <c r="G56" s="57" t="str">
        <f t="shared" si="1"/>
        <v>NM</v>
      </c>
      <c r="H56" s="47"/>
      <c r="I56" s="33">
        <v>-91.354726690000007</v>
      </c>
      <c r="J56" s="33">
        <v>-17.354299311696664</v>
      </c>
      <c r="K56" s="57" t="str">
        <f t="shared" si="2"/>
        <v>NM</v>
      </c>
      <c r="L56" s="47"/>
      <c r="M56" s="33">
        <v>-17.354299311696664</v>
      </c>
      <c r="N56" s="57" t="str">
        <f t="shared" si="11"/>
        <v>NM</v>
      </c>
      <c r="O56" s="47"/>
      <c r="P56" s="33">
        <v>268.48642860999996</v>
      </c>
      <c r="Q56" s="33">
        <v>-91.354726690000007</v>
      </c>
      <c r="R56" s="33">
        <v>359.84115529999997</v>
      </c>
      <c r="S56" s="33">
        <v>380.32850227999995</v>
      </c>
      <c r="T56" s="33">
        <v>-20.487346980000002</v>
      </c>
      <c r="V56" s="33">
        <v>-69.041398868603963</v>
      </c>
      <c r="W56" s="33">
        <v>-49.196429071756661</v>
      </c>
      <c r="X56" s="33">
        <v>-31.842129760059997</v>
      </c>
      <c r="Z56" s="33">
        <v>-20.487346979999998</v>
      </c>
      <c r="AA56" s="33">
        <v>-19.844969796847298</v>
      </c>
      <c r="AB56" s="33">
        <v>-17.354299311696664</v>
      </c>
      <c r="AC56" s="33">
        <v>-17.147678845029997</v>
      </c>
      <c r="AD56" s="33">
        <v>-14.69445091503</v>
      </c>
    </row>
    <row r="57" spans="1:30" x14ac:dyDescent="0.2">
      <c r="A57" s="11"/>
      <c r="C57" s="41"/>
      <c r="E57" s="23"/>
      <c r="F57" s="23"/>
      <c r="G57" s="16"/>
      <c r="H57" s="44"/>
      <c r="I57" s="23"/>
      <c r="J57" s="23"/>
      <c r="K57" s="16"/>
      <c r="L57" s="44"/>
      <c r="M57" s="23"/>
      <c r="N57" s="16"/>
      <c r="O57" s="44"/>
      <c r="P57" s="23"/>
      <c r="Q57" s="23"/>
      <c r="R57" s="23"/>
      <c r="S57" s="23"/>
      <c r="T57" s="23"/>
      <c r="V57" s="23"/>
      <c r="W57" s="23"/>
      <c r="X57" s="23"/>
      <c r="Z57" s="23"/>
      <c r="AA57" s="23"/>
      <c r="AB57" s="23"/>
      <c r="AC57" s="23"/>
      <c r="AD57" s="23"/>
    </row>
  </sheetData>
  <pageMargins left="0.39370078740157483" right="0.39370078740157483" top="0.39370078740157483" bottom="0.59055118110236227" header="0.31496062992125984" footer="0.19685039370078741"/>
  <pageSetup paperSize="9" scale="75" orientation="landscape" verticalDpi="0" r:id="rId1"/>
  <headerFooter>
    <oddFooter>&amp;L&amp;"Arial Black,Normal"&amp;F - &amp;A&amp;C&amp;"Arial Black,Normal"&amp;8p. &amp;P / &amp;N&amp;R&amp;"Arial Narrow,Normal"&amp;8&amp;G</oddFooter>
  </headerFooter>
  <customProperties>
    <customPr name="AreLinksHighlighted" r:id="rId2"/>
  </customProperties>
  <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C8E9C-3B28-4221-B327-1ACED36EF6BE}">
  <sheetPr>
    <pageSetUpPr fitToPage="1"/>
  </sheetPr>
  <dimension ref="A1:P28"/>
  <sheetViews>
    <sheetView showGridLines="0" topLeftCell="B3" zoomScaleNormal="100" workbookViewId="0">
      <pane xSplit="3" topLeftCell="E1" activePane="topRight" state="frozen"/>
      <selection activeCell="B30" sqref="B30"/>
      <selection pane="topRight" activeCell="B30" sqref="B30"/>
    </sheetView>
  </sheetViews>
  <sheetFormatPr baseColWidth="10" defaultColWidth="9.125" defaultRowHeight="11.4" outlineLevelRow="1" outlineLevelCol="1" x14ac:dyDescent="0.2"/>
  <cols>
    <col min="1" max="1" width="25.75" hidden="1" customWidth="1" outlineLevel="1"/>
    <col min="2" max="2" width="2.75" customWidth="1" collapsed="1"/>
    <col min="3" max="3" width="58.75" customWidth="1"/>
    <col min="4" max="4" width="2.75" customWidth="1"/>
    <col min="5" max="5" width="16.625" customWidth="1"/>
    <col min="6" max="6" width="3.625" customWidth="1"/>
    <col min="7" max="15" width="10.625" customWidth="1"/>
    <col min="16" max="16" width="3.875" customWidth="1"/>
  </cols>
  <sheetData>
    <row r="1" spans="1:16" hidden="1" outlineLevel="1" x14ac:dyDescent="0.2">
      <c r="A1" s="232"/>
      <c r="B1" s="232"/>
      <c r="C1" s="11" t="s">
        <v>23</v>
      </c>
      <c r="D1" s="232"/>
      <c r="E1" s="329" t="s">
        <v>264</v>
      </c>
      <c r="F1" s="232"/>
      <c r="G1" s="329" t="s">
        <v>264</v>
      </c>
      <c r="H1" s="329" t="s">
        <v>263</v>
      </c>
      <c r="I1" s="329" t="s">
        <v>260</v>
      </c>
      <c r="J1" s="329" t="s">
        <v>259</v>
      </c>
      <c r="K1" s="329" t="s">
        <v>262</v>
      </c>
      <c r="L1" s="329" t="s">
        <v>258</v>
      </c>
      <c r="M1" s="329" t="s">
        <v>261</v>
      </c>
      <c r="N1" s="329" t="s">
        <v>257</v>
      </c>
      <c r="O1" s="329" t="s">
        <v>256</v>
      </c>
      <c r="P1" s="232"/>
    </row>
    <row r="2" spans="1:16" hidden="1" outlineLevel="1" x14ac:dyDescent="0.2">
      <c r="A2" s="232"/>
      <c r="B2" s="232"/>
      <c r="C2" s="11"/>
      <c r="D2" s="232"/>
      <c r="E2" s="278">
        <f>DateRef</f>
        <v>45930</v>
      </c>
      <c r="F2" s="232"/>
      <c r="G2" s="278">
        <v>45838</v>
      </c>
      <c r="H2" s="278">
        <f>EOMONTH(G2,-3)</f>
        <v>45747</v>
      </c>
      <c r="I2" s="278">
        <f>EOMONTH(H2,-3)</f>
        <v>45657</v>
      </c>
      <c r="J2" s="278">
        <f>G2</f>
        <v>45838</v>
      </c>
      <c r="K2" s="278">
        <f>EOMONTH(G2,-6)</f>
        <v>45657</v>
      </c>
      <c r="L2" s="278">
        <f>EOMONTH(J2,-3)</f>
        <v>45747</v>
      </c>
      <c r="M2" s="278">
        <f>EOMONTH(J2,-9)</f>
        <v>45565</v>
      </c>
      <c r="N2" s="278">
        <f>EOMONTH(L2,-3)</f>
        <v>45657</v>
      </c>
      <c r="O2" s="278">
        <f>EOMONTH(N2,-3)</f>
        <v>45565</v>
      </c>
      <c r="P2" s="232"/>
    </row>
    <row r="3" spans="1:16" collapsed="1" x14ac:dyDescent="0.2">
      <c r="A3" s="11" t="s">
        <v>5</v>
      </c>
      <c r="B3" s="232"/>
      <c r="C3" s="232"/>
      <c r="D3" s="232"/>
      <c r="E3" s="232"/>
      <c r="F3" s="232"/>
      <c r="G3" s="232"/>
      <c r="H3" s="232"/>
      <c r="I3" s="232"/>
      <c r="J3" s="232"/>
      <c r="K3" s="232"/>
      <c r="L3" s="232"/>
      <c r="M3" s="232"/>
      <c r="N3" s="232"/>
      <c r="O3" s="232"/>
      <c r="P3" s="232"/>
    </row>
    <row r="4" spans="1:16" ht="17.399999999999999" x14ac:dyDescent="0.3">
      <c r="B4" s="145"/>
      <c r="C4" s="121" t="s">
        <v>268</v>
      </c>
      <c r="D4" s="145"/>
      <c r="E4" s="351">
        <f>DateRef</f>
        <v>45930</v>
      </c>
      <c r="G4" s="121" t="s">
        <v>249</v>
      </c>
      <c r="H4" s="121"/>
    </row>
    <row r="5" spans="1:16" ht="26.25" customHeight="1" thickBot="1" x14ac:dyDescent="0.3">
      <c r="C5" s="14" t="s">
        <v>118</v>
      </c>
      <c r="E5" s="15" t="str" cm="1">
        <f t="array" ref="E5">INDEX(TableYtd,MONTH(E$2),2)&amp;YEAR(E$2)</f>
        <v>9M 2025</v>
      </c>
      <c r="G5" s="15" t="str" cm="1">
        <f t="array" ref="G5">INDEX(TableYtd,MONTH(G$2),2)&amp;YEAR(G$2)</f>
        <v>H1 2025</v>
      </c>
      <c r="H5" s="15" t="str" cm="1">
        <f t="array" ref="H5">INDEX(TableYtd,MONTH(H$2),2)&amp;YEAR(H$2)</f>
        <v>Q1 2025</v>
      </c>
      <c r="I5" s="15" t="str" cm="1">
        <f t="array" ref="I5">INDEX(TableYtd,MONTH(I$2),2)&amp;YEAR(I$2)</f>
        <v>FY 2024</v>
      </c>
      <c r="J5" s="15" t="str">
        <f>MID(J$1,5,2)&amp;" "&amp;LEFT(J$1,4)</f>
        <v>Q4 2024</v>
      </c>
      <c r="K5" s="15" t="str" cm="1">
        <f t="array" ref="K5">INDEX(TableYtd,MONTH(K$2),2)&amp;YEAR(K$2)</f>
        <v>FY 2024</v>
      </c>
      <c r="L5" s="15" t="str">
        <f>MID(L$1,5,2)&amp;" "&amp;LEFT(L$1,4)</f>
        <v>Q3 2024</v>
      </c>
      <c r="M5" s="15" t="str" cm="1">
        <f t="array" ref="M5">INDEX(TableYtd,MONTH(M$2),2)&amp;YEAR(M$2)</f>
        <v>9M 2024</v>
      </c>
      <c r="N5" s="15" t="str">
        <f>MID(N$1,5,2)&amp;" "&amp;LEFT(N$1,4)</f>
        <v>Q2 2024</v>
      </c>
      <c r="O5" s="15" t="str">
        <f>MID(O$1,5,2)&amp;" "&amp;LEFT(O$1,4)</f>
        <v>Q1 2024</v>
      </c>
    </row>
    <row r="6" spans="1:16" x14ac:dyDescent="0.2">
      <c r="A6" s="11" t="s">
        <v>24</v>
      </c>
      <c r="B6" s="77"/>
      <c r="C6" s="76" t="s">
        <v>173</v>
      </c>
      <c r="D6" s="77"/>
      <c r="E6" s="78">
        <v>87.510607689999986</v>
      </c>
      <c r="G6" s="78">
        <v>87.510607689999986</v>
      </c>
      <c r="H6" s="78">
        <v>87.510607689999986</v>
      </c>
      <c r="I6" s="78">
        <v>327.86982865000004</v>
      </c>
      <c r="J6" s="78">
        <v>88.447447400000073</v>
      </c>
      <c r="K6" s="78">
        <v>239.42238124999997</v>
      </c>
      <c r="L6" s="78">
        <v>81.088178939999978</v>
      </c>
      <c r="M6" s="78">
        <v>158.33420230999999</v>
      </c>
      <c r="N6" s="78">
        <v>85.185270629999991</v>
      </c>
      <c r="O6" s="78">
        <v>73.148931680000004</v>
      </c>
    </row>
    <row r="7" spans="1:16" x14ac:dyDescent="0.2">
      <c r="A7" s="11" t="s">
        <v>25</v>
      </c>
      <c r="B7" s="77"/>
      <c r="C7" s="81" t="s">
        <v>78</v>
      </c>
      <c r="D7" s="77"/>
      <c r="E7" s="82">
        <v>0.23078277000000003</v>
      </c>
      <c r="G7" s="82">
        <v>0.23078277000000003</v>
      </c>
      <c r="H7" s="82">
        <v>0.23078277000000003</v>
      </c>
      <c r="I7" s="82">
        <v>4.7863262599999992</v>
      </c>
      <c r="J7" s="82">
        <v>1.1899182199999987</v>
      </c>
      <c r="K7" s="82">
        <v>3.5964080400000005</v>
      </c>
      <c r="L7" s="82">
        <v>1.5816079000000003</v>
      </c>
      <c r="M7" s="82">
        <v>2.0148001400000002</v>
      </c>
      <c r="N7" s="82">
        <v>0.66738366999999998</v>
      </c>
      <c r="O7" s="82">
        <v>1.3474164700000002</v>
      </c>
    </row>
    <row r="8" spans="1:16" ht="12" x14ac:dyDescent="0.25">
      <c r="A8" s="11" t="s">
        <v>27</v>
      </c>
      <c r="B8" s="77"/>
      <c r="C8" s="135" t="s">
        <v>80</v>
      </c>
      <c r="D8" s="136"/>
      <c r="E8" s="137">
        <v>87.741390459999991</v>
      </c>
      <c r="F8" s="140"/>
      <c r="G8" s="137">
        <v>87.741390459999991</v>
      </c>
      <c r="H8" s="137">
        <v>87.741390459999991</v>
      </c>
      <c r="I8" s="137">
        <v>332.65615491000005</v>
      </c>
      <c r="J8" s="137">
        <v>89.637365620000082</v>
      </c>
      <c r="K8" s="137">
        <v>243.01878928999997</v>
      </c>
      <c r="L8" s="137">
        <v>82.669786839999972</v>
      </c>
      <c r="M8" s="137">
        <v>160.34900245</v>
      </c>
      <c r="N8" s="137">
        <v>85.852654299999998</v>
      </c>
      <c r="O8" s="137">
        <v>74.496348150000003</v>
      </c>
    </row>
    <row r="9" spans="1:16" x14ac:dyDescent="0.2">
      <c r="A9" s="11" t="s">
        <v>29</v>
      </c>
      <c r="B9" s="77"/>
      <c r="C9" s="84" t="s">
        <v>82</v>
      </c>
      <c r="D9" s="77"/>
      <c r="E9" s="82">
        <v>0</v>
      </c>
      <c r="G9" s="82">
        <v>0</v>
      </c>
      <c r="H9" s="82">
        <v>0</v>
      </c>
      <c r="I9" s="82">
        <v>0</v>
      </c>
      <c r="J9" s="82">
        <v>0</v>
      </c>
      <c r="K9" s="82">
        <v>0</v>
      </c>
      <c r="L9" s="82">
        <v>0</v>
      </c>
      <c r="M9" s="82">
        <v>0</v>
      </c>
      <c r="N9" s="82">
        <v>0</v>
      </c>
      <c r="O9" s="82">
        <v>0</v>
      </c>
    </row>
    <row r="10" spans="1:16" ht="12" x14ac:dyDescent="0.25">
      <c r="A10" s="11" t="s">
        <v>31</v>
      </c>
      <c r="B10" s="136"/>
      <c r="C10" s="84" t="s">
        <v>265</v>
      </c>
      <c r="D10" s="77"/>
      <c r="E10" s="330">
        <v>1.7870478000000074</v>
      </c>
      <c r="G10" s="330">
        <v>1.7870478000000074</v>
      </c>
      <c r="H10" s="330">
        <v>1.7870478000000074</v>
      </c>
      <c r="I10" s="330">
        <v>11.974638599999995</v>
      </c>
      <c r="J10" s="330">
        <v>3.7081806799999946</v>
      </c>
      <c r="K10" s="330">
        <v>8.2664579200000006</v>
      </c>
      <c r="L10" s="330">
        <v>2.1634774299999986</v>
      </c>
      <c r="M10" s="330">
        <v>6.102980490000002</v>
      </c>
      <c r="N10" s="330">
        <v>2.8414779600000024</v>
      </c>
      <c r="O10" s="330">
        <v>3.2615025299999996</v>
      </c>
      <c r="P10" s="140"/>
    </row>
    <row r="11" spans="1:16" ht="12" x14ac:dyDescent="0.25">
      <c r="A11" s="11" t="s">
        <v>32</v>
      </c>
      <c r="C11" s="17" t="s">
        <v>83</v>
      </c>
      <c r="E11" s="24">
        <v>89.528438260000001</v>
      </c>
      <c r="G11" s="24">
        <v>89.528438260000001</v>
      </c>
      <c r="H11" s="24">
        <v>89.528438260000001</v>
      </c>
      <c r="I11" s="24">
        <v>344.63079351000005</v>
      </c>
      <c r="J11" s="24">
        <v>93.34554630000008</v>
      </c>
      <c r="K11" s="24">
        <v>251.28524720999997</v>
      </c>
      <c r="L11" s="24">
        <v>84.833264269999972</v>
      </c>
      <c r="M11" s="24">
        <v>166.45198293999999</v>
      </c>
      <c r="N11" s="24">
        <v>88.694132259999989</v>
      </c>
      <c r="O11" s="24">
        <v>77.757850680000004</v>
      </c>
    </row>
    <row r="12" spans="1:16" ht="12" x14ac:dyDescent="0.25">
      <c r="A12" s="11" t="s">
        <v>37</v>
      </c>
      <c r="C12" s="17" t="s">
        <v>87</v>
      </c>
      <c r="E12" s="24">
        <v>-67.171416850000014</v>
      </c>
      <c r="G12" s="24">
        <v>-67.171416850000014</v>
      </c>
      <c r="H12" s="24">
        <v>-67.171416850000014</v>
      </c>
      <c r="I12" s="24">
        <v>-221.36678976855507</v>
      </c>
      <c r="J12" s="24">
        <v>-67.159489158555061</v>
      </c>
      <c r="K12" s="24">
        <v>-154.20730061</v>
      </c>
      <c r="L12" s="24">
        <v>-53.192699919999981</v>
      </c>
      <c r="M12" s="24">
        <v>-101.01460069000002</v>
      </c>
      <c r="N12" s="24">
        <v>-50.694801250000033</v>
      </c>
      <c r="O12" s="24">
        <v>-50.31979943999999</v>
      </c>
    </row>
    <row r="13" spans="1:16" ht="12" x14ac:dyDescent="0.25">
      <c r="A13" s="11" t="s">
        <v>38</v>
      </c>
      <c r="C13" s="18" t="s">
        <v>88</v>
      </c>
      <c r="E13" s="25">
        <v>-61.783798520000012</v>
      </c>
      <c r="G13" s="25">
        <v>-61.783798520000012</v>
      </c>
      <c r="H13" s="25">
        <v>-61.783798520000012</v>
      </c>
      <c r="I13" s="25">
        <v>-210.62465101999996</v>
      </c>
      <c r="J13" s="25">
        <v>-56.417350409999955</v>
      </c>
      <c r="K13" s="25">
        <v>-154.20730061</v>
      </c>
      <c r="L13" s="25">
        <v>-53.192699919999981</v>
      </c>
      <c r="M13" s="25">
        <v>-101.01460069000002</v>
      </c>
      <c r="N13" s="25">
        <v>-50.694801250000033</v>
      </c>
      <c r="O13" s="25">
        <v>-50.31979943999999</v>
      </c>
    </row>
    <row r="14" spans="1:16" ht="12" x14ac:dyDescent="0.2">
      <c r="A14" s="333" t="s">
        <v>304</v>
      </c>
      <c r="B14" s="35"/>
      <c r="C14" s="340" t="s">
        <v>305</v>
      </c>
      <c r="D14" s="227"/>
      <c r="E14" s="341">
        <f t="shared" ref="E14:O14" si="0">-E12/E11</f>
        <v>0.75028022554048301</v>
      </c>
      <c r="G14" s="341">
        <f t="shared" si="0"/>
        <v>0.75028022554048301</v>
      </c>
      <c r="H14" s="341">
        <f t="shared" ref="H14" si="1">-H12/H11</f>
        <v>0.75028022554048301</v>
      </c>
      <c r="I14" s="341">
        <f t="shared" ref="I14" si="2">-I12/I11</f>
        <v>0.64233026745513888</v>
      </c>
      <c r="J14" s="341">
        <f t="shared" si="0"/>
        <v>0.71947181007129635</v>
      </c>
      <c r="K14" s="341">
        <f t="shared" ref="K14:M14" si="3">-K12/K11</f>
        <v>0.61367430966262981</v>
      </c>
      <c r="L14" s="341">
        <f t="shared" si="0"/>
        <v>0.62702644272537789</v>
      </c>
      <c r="M14" s="341">
        <f t="shared" si="3"/>
        <v>0.60686931393549204</v>
      </c>
      <c r="N14" s="341">
        <f t="shared" si="0"/>
        <v>0.5715688282669269</v>
      </c>
      <c r="O14" s="341">
        <f t="shared" si="0"/>
        <v>0.64713464942701504</v>
      </c>
      <c r="P14" s="47"/>
    </row>
    <row r="15" spans="1:16" ht="12" x14ac:dyDescent="0.2">
      <c r="A15" s="333" t="s">
        <v>302</v>
      </c>
      <c r="B15" s="35"/>
      <c r="C15" s="334" t="s">
        <v>303</v>
      </c>
      <c r="D15" s="227"/>
      <c r="E15" s="335">
        <f t="shared" ref="E15:O15" si="4">-E13/E11</f>
        <v>0.69010249392012579</v>
      </c>
      <c r="G15" s="335">
        <f t="shared" si="4"/>
        <v>0.69010249392012579</v>
      </c>
      <c r="H15" s="335">
        <f t="shared" ref="H15" si="5">-H13/H11</f>
        <v>0.69010249392012579</v>
      </c>
      <c r="I15" s="335">
        <f t="shared" ref="I15" si="6">-I13/I11</f>
        <v>0.6111602764071874</v>
      </c>
      <c r="J15" s="335">
        <f t="shared" si="4"/>
        <v>0.60439252483114891</v>
      </c>
      <c r="K15" s="335">
        <f t="shared" ref="K15:M15" si="7">-K13/K11</f>
        <v>0.61367430966262981</v>
      </c>
      <c r="L15" s="335">
        <f t="shared" si="4"/>
        <v>0.62702644272537789</v>
      </c>
      <c r="M15" s="335">
        <f t="shared" si="7"/>
        <v>0.60686931393549204</v>
      </c>
      <c r="N15" s="335">
        <f t="shared" si="4"/>
        <v>0.5715688282669269</v>
      </c>
      <c r="O15" s="335">
        <f t="shared" si="4"/>
        <v>0.64713464942701504</v>
      </c>
      <c r="P15" s="47"/>
    </row>
    <row r="16" spans="1:16" ht="12" x14ac:dyDescent="0.2">
      <c r="A16" s="11" t="s">
        <v>41</v>
      </c>
      <c r="B16" s="20"/>
      <c r="C16" s="19" t="s">
        <v>91</v>
      </c>
      <c r="D16" s="20"/>
      <c r="E16" s="25">
        <v>27.744639739999982</v>
      </c>
      <c r="G16" s="25">
        <v>27.744639739999982</v>
      </c>
      <c r="H16" s="25">
        <v>27.744639739999982</v>
      </c>
      <c r="I16" s="25">
        <v>134.00614249000009</v>
      </c>
      <c r="J16" s="25">
        <v>36.928195890000126</v>
      </c>
      <c r="K16" s="25">
        <v>97.077946599999962</v>
      </c>
      <c r="L16" s="25">
        <v>31.640564349999991</v>
      </c>
      <c r="M16" s="25">
        <v>65.43738224999997</v>
      </c>
      <c r="N16" s="25">
        <v>37.999331009999956</v>
      </c>
      <c r="O16" s="25">
        <v>27.438051240000014</v>
      </c>
    </row>
    <row r="17" spans="1:15" x14ac:dyDescent="0.2">
      <c r="A17" s="11" t="s">
        <v>43</v>
      </c>
      <c r="B17" s="77"/>
      <c r="C17" s="84" t="s">
        <v>93</v>
      </c>
      <c r="D17" s="77"/>
      <c r="E17" s="82">
        <v>-7.5742459999999998E-2</v>
      </c>
      <c r="G17" s="82">
        <v>-7.5742459999999998E-2</v>
      </c>
      <c r="H17" s="82">
        <v>-7.5742459999999998E-2</v>
      </c>
      <c r="I17" s="82">
        <v>4.0082770099999996</v>
      </c>
      <c r="J17" s="82">
        <v>2.7267019999999587E-2</v>
      </c>
      <c r="K17" s="82">
        <v>3.98100999</v>
      </c>
      <c r="L17" s="82">
        <v>-0.10680144000000036</v>
      </c>
      <c r="M17" s="82">
        <v>4.0878114300000004</v>
      </c>
      <c r="N17" s="82">
        <v>3.1781764200000002</v>
      </c>
      <c r="O17" s="82">
        <v>0.90963501000000002</v>
      </c>
    </row>
    <row r="18" spans="1:15" ht="12" x14ac:dyDescent="0.25">
      <c r="A18" s="11" t="s">
        <v>50</v>
      </c>
      <c r="C18" s="18" t="s">
        <v>94</v>
      </c>
      <c r="E18" s="25">
        <v>27.668897279999982</v>
      </c>
      <c r="G18" s="25">
        <v>27.668897279999982</v>
      </c>
      <c r="H18" s="25">
        <v>27.668897279999982</v>
      </c>
      <c r="I18" s="25">
        <v>138.01441950000009</v>
      </c>
      <c r="J18" s="25">
        <v>36.955462910000122</v>
      </c>
      <c r="K18" s="25">
        <v>101.05895658999997</v>
      </c>
      <c r="L18" s="25">
        <v>31.533762909999993</v>
      </c>
      <c r="M18" s="25">
        <v>69.525193679999973</v>
      </c>
      <c r="N18" s="25">
        <v>41.177507429999963</v>
      </c>
      <c r="O18" s="25">
        <v>28.347686250000013</v>
      </c>
    </row>
    <row r="19" spans="1:15" x14ac:dyDescent="0.2">
      <c r="A19" s="11" t="s">
        <v>52</v>
      </c>
      <c r="B19" s="77"/>
      <c r="C19" s="84" t="s">
        <v>96</v>
      </c>
      <c r="D19" s="77"/>
      <c r="E19" s="82">
        <v>-4.5433063299999992</v>
      </c>
      <c r="G19" s="82">
        <v>-4.5433063299999992</v>
      </c>
      <c r="H19" s="82">
        <v>-4.5433063299999992</v>
      </c>
      <c r="I19" s="82">
        <v>-28.83851288305776</v>
      </c>
      <c r="J19" s="82">
        <v>-4.6253310230577664</v>
      </c>
      <c r="K19" s="82">
        <v>-24.213181859999995</v>
      </c>
      <c r="L19" s="82">
        <v>-7.9375256099999945</v>
      </c>
      <c r="M19" s="82">
        <v>-16.275656250000001</v>
      </c>
      <c r="N19" s="82">
        <v>-9.3704521800000009</v>
      </c>
      <c r="O19" s="82">
        <v>-6.905204069999999</v>
      </c>
    </row>
    <row r="20" spans="1:15" x14ac:dyDescent="0.2">
      <c r="A20" s="11" t="s">
        <v>53</v>
      </c>
      <c r="C20" s="127" t="s">
        <v>97</v>
      </c>
      <c r="D20" s="128"/>
      <c r="E20" s="129">
        <v>-5.8363347399999999</v>
      </c>
      <c r="G20" s="129">
        <v>-5.8363347399999999</v>
      </c>
      <c r="H20" s="129">
        <v>-5.8363347399999999</v>
      </c>
      <c r="I20" s="129">
        <v>-31.498266437200005</v>
      </c>
      <c r="J20" s="129">
        <v>-7.2850845772000099</v>
      </c>
      <c r="K20" s="129">
        <v>-24.213181859999995</v>
      </c>
      <c r="L20" s="129">
        <v>-7.9375256099999945</v>
      </c>
      <c r="M20" s="129">
        <v>-16.275656250000001</v>
      </c>
      <c r="N20" s="129">
        <v>-9.3704521800000009</v>
      </c>
      <c r="O20" s="129">
        <v>-6.905204069999999</v>
      </c>
    </row>
    <row r="21" spans="1:15" ht="12" x14ac:dyDescent="0.25">
      <c r="A21" s="11" t="s">
        <v>56</v>
      </c>
      <c r="B21" s="34"/>
      <c r="C21" s="27" t="s">
        <v>100</v>
      </c>
      <c r="D21" s="34"/>
      <c r="E21" s="24">
        <v>17.737972619999987</v>
      </c>
      <c r="G21" s="24">
        <v>17.737972619999987</v>
      </c>
      <c r="H21" s="24">
        <v>17.737972619999987</v>
      </c>
      <c r="I21" s="24">
        <v>98.433767868387235</v>
      </c>
      <c r="J21" s="24">
        <v>21.587993138387262</v>
      </c>
      <c r="K21" s="24">
        <v>76.845774729999974</v>
      </c>
      <c r="L21" s="24">
        <v>23.596237299999999</v>
      </c>
      <c r="M21" s="24">
        <v>53.249537429999975</v>
      </c>
      <c r="N21" s="24">
        <v>31.807055249999962</v>
      </c>
      <c r="O21" s="24">
        <v>21.442482180000013</v>
      </c>
    </row>
    <row r="22" spans="1:15" ht="12" x14ac:dyDescent="0.2">
      <c r="A22" s="11" t="s">
        <v>57</v>
      </c>
      <c r="B22" s="20"/>
      <c r="C22" s="19" t="s">
        <v>101</v>
      </c>
      <c r="D22" s="20"/>
      <c r="E22" s="25">
        <v>21.832562539999984</v>
      </c>
      <c r="G22" s="25">
        <v>21.832562539999984</v>
      </c>
      <c r="H22" s="25">
        <v>21.832562539999984</v>
      </c>
      <c r="I22" s="25">
        <v>106.51615306280009</v>
      </c>
      <c r="J22" s="25">
        <v>29.670378332800112</v>
      </c>
      <c r="K22" s="25">
        <v>76.845774729999974</v>
      </c>
      <c r="L22" s="25">
        <v>23.596237299999999</v>
      </c>
      <c r="M22" s="25">
        <v>53.249537429999975</v>
      </c>
      <c r="N22" s="25">
        <v>31.807055249999962</v>
      </c>
      <c r="O22" s="25">
        <v>21.442482180000013</v>
      </c>
    </row>
    <row r="23" spans="1:15" x14ac:dyDescent="0.2">
      <c r="A23" s="11"/>
      <c r="C23" s="41"/>
      <c r="E23" s="13"/>
      <c r="G23" s="13"/>
      <c r="H23" s="13"/>
      <c r="I23" s="13"/>
      <c r="J23" s="13"/>
      <c r="K23" s="13"/>
      <c r="L23" s="13"/>
      <c r="M23" s="13"/>
      <c r="N23" s="13"/>
      <c r="O23" s="13"/>
    </row>
    <row r="24" spans="1:15" ht="12" x14ac:dyDescent="0.25">
      <c r="A24" s="11"/>
      <c r="C24" s="39" t="s">
        <v>76</v>
      </c>
      <c r="E24" s="40"/>
      <c r="F24" s="44"/>
      <c r="G24" s="40"/>
      <c r="H24" s="40"/>
      <c r="I24" s="55"/>
      <c r="J24" s="40"/>
      <c r="K24" s="55"/>
      <c r="L24" s="55"/>
      <c r="M24" s="55"/>
      <c r="N24" s="55"/>
      <c r="O24" s="55"/>
    </row>
    <row r="25" spans="1:15" x14ac:dyDescent="0.2">
      <c r="A25" s="11" t="s">
        <v>63</v>
      </c>
      <c r="B25" s="77"/>
      <c r="C25" s="84" t="s">
        <v>105</v>
      </c>
      <c r="D25" s="77"/>
      <c r="E25" s="82">
        <v>-5.3876183300000005</v>
      </c>
      <c r="G25" s="82">
        <v>-5.3876183300000005</v>
      </c>
      <c r="H25" s="82">
        <v>-5.3876183300000005</v>
      </c>
      <c r="I25" s="82">
        <v>-10.742138748555101</v>
      </c>
      <c r="J25" s="82">
        <v>-10.742138748555101</v>
      </c>
      <c r="K25" s="82">
        <v>0</v>
      </c>
      <c r="L25" s="82">
        <v>0</v>
      </c>
      <c r="M25" s="82">
        <v>0</v>
      </c>
      <c r="N25" s="82">
        <v>0</v>
      </c>
      <c r="O25" s="82">
        <v>0</v>
      </c>
    </row>
    <row r="26" spans="1:15" x14ac:dyDescent="0.2">
      <c r="A26" s="11" t="s">
        <v>64</v>
      </c>
      <c r="B26" s="77"/>
      <c r="C26" s="84" t="s">
        <v>106</v>
      </c>
      <c r="D26" s="77"/>
      <c r="E26" s="82">
        <v>1.2930284100000007</v>
      </c>
      <c r="G26" s="82">
        <v>1.2930284100000007</v>
      </c>
      <c r="H26" s="82">
        <v>1.2930284100000007</v>
      </c>
      <c r="I26" s="82">
        <v>2.6597535541422435</v>
      </c>
      <c r="J26" s="82">
        <v>2.6597535541422435</v>
      </c>
      <c r="K26" s="82">
        <v>0</v>
      </c>
      <c r="L26" s="82">
        <v>0</v>
      </c>
      <c r="M26" s="82">
        <v>0</v>
      </c>
      <c r="N26" s="82">
        <v>0</v>
      </c>
      <c r="O26" s="82">
        <v>0</v>
      </c>
    </row>
    <row r="27" spans="1:15" ht="12" x14ac:dyDescent="0.25">
      <c r="A27" s="11" t="s">
        <v>65</v>
      </c>
      <c r="C27" s="18" t="s">
        <v>107</v>
      </c>
      <c r="E27" s="25">
        <v>-4.0945899199999998</v>
      </c>
      <c r="G27" s="25">
        <v>-4.0945899199999998</v>
      </c>
      <c r="H27" s="25">
        <v>-4.0945899199999998</v>
      </c>
      <c r="I27" s="25">
        <v>-8.0823851944128577</v>
      </c>
      <c r="J27" s="25">
        <v>-8.0823851944128577</v>
      </c>
      <c r="K27" s="25">
        <v>0</v>
      </c>
      <c r="L27" s="25">
        <v>0</v>
      </c>
      <c r="M27" s="25">
        <v>0</v>
      </c>
      <c r="N27" s="25">
        <v>0</v>
      </c>
      <c r="O27" s="25">
        <v>0</v>
      </c>
    </row>
    <row r="28" spans="1:15" x14ac:dyDescent="0.2">
      <c r="A28" s="11"/>
    </row>
  </sheetData>
  <pageMargins left="0.39370078740157483" right="0.39370078740157483" top="0.39370078740157483" bottom="0.59055118110236227" header="0.31496062992125984" footer="0.19685039370078741"/>
  <pageSetup paperSize="9" scale="63" orientation="landscape" verticalDpi="0" r:id="rId1"/>
  <headerFooter>
    <oddFooter>&amp;L&amp;"Arial Black,Normal"&amp;F - &amp;A&amp;C&amp;"Arial Black,Normal"&amp;8p. &amp;P / &amp;N&amp;R&amp;"Arial Narrow,Normal"&amp;8&amp;G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CE863-87CD-40A5-B4B0-188F53CB9BDE}">
  <sheetPr>
    <pageSetUpPr fitToPage="1"/>
  </sheetPr>
  <dimension ref="A1:AS105"/>
  <sheetViews>
    <sheetView showGridLines="0" topLeftCell="A58" zoomScale="80" zoomScaleNormal="80" workbookViewId="0">
      <pane xSplit="4" topLeftCell="I1" activePane="topRight" state="frozen"/>
      <selection activeCell="B30" sqref="B30"/>
      <selection pane="topRight" activeCell="AS109" sqref="AS109"/>
    </sheetView>
  </sheetViews>
  <sheetFormatPr baseColWidth="10" defaultColWidth="9.125" defaultRowHeight="11.4" outlineLevelRow="1" outlineLevelCol="1" x14ac:dyDescent="0.2"/>
  <cols>
    <col min="1" max="1" width="23.625" hidden="1" customWidth="1" outlineLevel="1"/>
    <col min="2" max="2" width="2.75" customWidth="1" collapsed="1"/>
    <col min="3" max="3" width="49.125" customWidth="1"/>
    <col min="4" max="4" width="2.75" style="73" customWidth="1"/>
    <col min="5" max="5" width="15.375" bestFit="1" customWidth="1"/>
    <col min="6" max="7" width="12.625" customWidth="1"/>
    <col min="8" max="8" width="15.375" bestFit="1" customWidth="1"/>
    <col min="9" max="9" width="12.625" customWidth="1"/>
    <col min="10" max="10" width="2.75" customWidth="1"/>
    <col min="11" max="12" width="12.625" hidden="1" customWidth="1"/>
    <col min="13" max="13" width="10.75" customWidth="1"/>
    <col min="14" max="14" width="16.125" customWidth="1"/>
    <col min="15" max="15" width="13.125" style="353" customWidth="1"/>
    <col min="16" max="16" width="15.375" bestFit="1" customWidth="1"/>
    <col min="17" max="17" width="12.5" bestFit="1" customWidth="1"/>
    <col min="18" max="18" width="10.625" customWidth="1"/>
    <col min="19" max="19" width="10.625" hidden="1" customWidth="1"/>
    <col min="20" max="20" width="2.75" customWidth="1"/>
    <col min="21" max="21" width="10.625" customWidth="1"/>
    <col min="22" max="22" width="10.625" customWidth="1" outlineLevel="1"/>
    <col min="23" max="27" width="10.625" customWidth="1"/>
    <col min="28" max="28" width="10.625" hidden="1" customWidth="1"/>
    <col min="29" max="29" width="2.75" customWidth="1"/>
    <col min="30" max="30" width="10.625" customWidth="1"/>
    <col min="31" max="31" width="10.625" customWidth="1" outlineLevel="1"/>
    <col min="32" max="36" width="10.625" customWidth="1"/>
    <col min="37" max="37" width="10.625" hidden="1" customWidth="1"/>
    <col min="38" max="38" width="2.75" customWidth="1"/>
    <col min="39" max="39" width="10.625" customWidth="1"/>
    <col min="40" max="40" width="10.625" customWidth="1" outlineLevel="1"/>
    <col min="41" max="41" width="10.625" customWidth="1"/>
    <col min="42" max="42" width="10.625" customWidth="1" outlineLevel="1"/>
    <col min="43" max="43" width="10.625" customWidth="1"/>
    <col min="44" max="44" width="10.625" customWidth="1" outlineLevel="1"/>
    <col min="45" max="45" width="10.625" customWidth="1"/>
  </cols>
  <sheetData>
    <row r="1" spans="1:45" hidden="1" outlineLevel="1" x14ac:dyDescent="0.2">
      <c r="C1" s="50" t="s">
        <v>174</v>
      </c>
      <c r="D1" s="246"/>
      <c r="E1" s="247">
        <f>DateRef</f>
        <v>45930</v>
      </c>
      <c r="F1" s="247">
        <f>EOMONTH($E$1,-12)</f>
        <v>45565</v>
      </c>
      <c r="G1" s="248"/>
      <c r="H1" s="247">
        <f>EOMONTH($E$1,-3)</f>
        <v>45838</v>
      </c>
      <c r="I1" s="247"/>
      <c r="J1" s="232"/>
      <c r="K1" s="247">
        <f>EOMONTH($E$1,-MONTH($E$1))</f>
        <v>45657</v>
      </c>
      <c r="L1" s="11"/>
      <c r="M1" s="11"/>
      <c r="N1" s="247">
        <f>DateRef</f>
        <v>45930</v>
      </c>
      <c r="O1" s="278"/>
      <c r="P1" s="247">
        <f>EOMONTH(N1,-3)</f>
        <v>45838</v>
      </c>
      <c r="Q1" s="247"/>
      <c r="R1" s="247">
        <f>EOMONTH(P1,-3)</f>
        <v>45747</v>
      </c>
      <c r="S1" s="247"/>
      <c r="T1" s="232"/>
      <c r="U1" s="247">
        <f>EOMONTH(R1,-3)</f>
        <v>45657</v>
      </c>
      <c r="V1" s="247"/>
      <c r="W1" s="247">
        <f>EOMONTH(U1,-3)</f>
        <v>45565</v>
      </c>
      <c r="X1" s="247"/>
      <c r="Y1" s="247">
        <f>EOMONTH(W1,-3)</f>
        <v>45473</v>
      </c>
      <c r="Z1" s="247"/>
      <c r="AA1" s="247">
        <f>EOMONTH(Y1,-3)</f>
        <v>45382</v>
      </c>
      <c r="AB1" s="247"/>
      <c r="AC1" s="232"/>
      <c r="AD1" s="247">
        <f>EOMONTH(AA1,-3)</f>
        <v>45291</v>
      </c>
      <c r="AE1" s="247"/>
      <c r="AF1" s="247">
        <f>EOMONTH(AD1,-3)</f>
        <v>45199</v>
      </c>
      <c r="AG1" s="247"/>
      <c r="AH1" s="247">
        <f>EOMONTH(AF1,-3)</f>
        <v>45107</v>
      </c>
      <c r="AI1" s="247"/>
      <c r="AJ1" s="247">
        <f>EOMONTH(AH1,-3)</f>
        <v>45016</v>
      </c>
      <c r="AK1" s="247"/>
      <c r="AL1" s="232"/>
      <c r="AM1" s="247">
        <f>EOMONTH(AJ1,-3)</f>
        <v>44926</v>
      </c>
      <c r="AN1" s="247"/>
      <c r="AO1" s="247">
        <f t="shared" ref="AO1" si="0">EOMONTH(AM1,-3)</f>
        <v>44834</v>
      </c>
      <c r="AP1" s="247"/>
      <c r="AQ1" s="247">
        <f t="shared" ref="AQ1" si="1">EOMONTH(AO1,-3)</f>
        <v>44742</v>
      </c>
      <c r="AR1" s="247"/>
      <c r="AS1" s="247">
        <f t="shared" ref="AS1" si="2">EOMONTH(AQ1,-3)</f>
        <v>44651</v>
      </c>
    </row>
    <row r="2" spans="1:45" hidden="1" outlineLevel="1" x14ac:dyDescent="0.2">
      <c r="C2" s="50" t="s">
        <v>171</v>
      </c>
      <c r="D2" s="249">
        <v>45565</v>
      </c>
      <c r="E2" s="11" t="str">
        <f>DateYtd</f>
        <v>2025Sep</v>
      </c>
      <c r="F2" s="11" t="str" cm="1">
        <f t="array" ref="F2">YEAR(EOMONTH(DateRef,-12))&amp;INDEX(TableYtd,MONTH(EOMONTH(DateRef,-12)),1)</f>
        <v>2024Sep</v>
      </c>
      <c r="G2" s="248"/>
      <c r="H2" s="11" t="str" cm="1">
        <f t="array" ref="H2">YEAR(EOMONTH(DateRef,-3))&amp;INDEX(TableYtd,MONTH(EOMONTH(DateRef,-3)),1)</f>
        <v>2025Jun</v>
      </c>
      <c r="I2" s="248"/>
      <c r="J2" s="232"/>
      <c r="K2" s="11" t="str" cm="1">
        <f t="array" ref="K2">YEAR(EOMONTH(DateRef,-MONTH(DateRef)))&amp;INDEX(TableYtd,MONTH(EOMONTH(DateRef,-MONTH(DateRef))),1)</f>
        <v>2024Dec</v>
      </c>
      <c r="L2" s="11"/>
      <c r="M2" s="11"/>
      <c r="N2" s="11" t="str">
        <f>DateYtd</f>
        <v>2025Sep</v>
      </c>
      <c r="O2" s="352"/>
      <c r="P2" s="11" t="str" cm="1">
        <f t="array" ref="P2">YEAR(P1)&amp;INDEX(TableYtd,MONTH(P1),1)</f>
        <v>2025Jun</v>
      </c>
      <c r="Q2" s="232"/>
      <c r="R2" s="11" t="str" cm="1">
        <f t="array" ref="R2">YEAR(R1)&amp;INDEX(TableYtd,MONTH(R1),1)</f>
        <v>2025Mar</v>
      </c>
      <c r="S2" s="232"/>
      <c r="T2" s="232"/>
      <c r="U2" s="11" t="str" cm="1">
        <f t="array" ref="U2">YEAR(U1)&amp;INDEX(TableYtd,MONTH(U1),1)</f>
        <v>2024Dec</v>
      </c>
      <c r="V2" s="232"/>
      <c r="W2" s="11" t="str" cm="1">
        <f t="array" ref="W2">YEAR(W1)&amp;INDEX(TableYtd,MONTH(W1),1)</f>
        <v>2024Sep</v>
      </c>
      <c r="X2" s="232"/>
      <c r="Y2" s="11" t="str" cm="1">
        <f t="array" ref="Y2">YEAR(Y1)&amp;INDEX(TableYtd,MONTH(Y1),1)</f>
        <v>2024Jun</v>
      </c>
      <c r="Z2" s="232"/>
      <c r="AA2" s="11" t="str" cm="1">
        <f t="array" ref="AA2">YEAR(AA1)&amp;INDEX(TableYtd,MONTH(AA1),1)</f>
        <v>2024Mar</v>
      </c>
      <c r="AB2" s="232"/>
      <c r="AC2" s="232"/>
      <c r="AD2" s="11" t="str" cm="1">
        <f t="array" ref="AD2">YEAR(AD1)&amp;INDEX(TableYtd,MONTH(AD1),1)</f>
        <v>2023Dec</v>
      </c>
      <c r="AE2" s="232"/>
      <c r="AF2" s="11" t="str" cm="1">
        <f t="array" ref="AF2">YEAR(AF1)&amp;INDEX(TableYtd,MONTH(AF1),1)</f>
        <v>2023Sep</v>
      </c>
      <c r="AG2" s="232"/>
      <c r="AH2" s="11" t="str" cm="1">
        <f t="array" ref="AH2">YEAR(AH1)&amp;INDEX(TableYtd,MONTH(AH1),1)</f>
        <v>2023Jun</v>
      </c>
      <c r="AI2" s="232"/>
      <c r="AJ2" s="11" t="str" cm="1">
        <f t="array" ref="AJ2">YEAR(AJ1)&amp;INDEX(TableYtd,MONTH(AJ1),1)</f>
        <v>2023Mar</v>
      </c>
      <c r="AK2" s="232"/>
      <c r="AL2" s="232"/>
      <c r="AM2" s="11" t="str" cm="1">
        <f t="array" ref="AM2">YEAR(AM1)&amp;INDEX(TableYtd,MONTH(AM1),1)</f>
        <v>2022Dec</v>
      </c>
      <c r="AN2" s="232"/>
      <c r="AO2" s="11" t="str" cm="1">
        <f t="array" ref="AO2">YEAR(AO1)&amp;INDEX(TableYtd,MONTH(AO1),1)</f>
        <v>2022Sep</v>
      </c>
      <c r="AP2" s="232"/>
      <c r="AQ2" s="11" t="str" cm="1">
        <f t="array" ref="AQ2">YEAR(AQ1)&amp;INDEX(TableYtd,MONTH(AQ1),1)</f>
        <v>2022Jun</v>
      </c>
      <c r="AR2" s="232"/>
      <c r="AS2" s="11" t="str" cm="1">
        <f t="array" ref="AS2">YEAR(AS1)&amp;INDEX(TableYtd,MONTH(AS1),1)</f>
        <v>2022Mar</v>
      </c>
    </row>
    <row r="3" spans="1:45" hidden="1" outlineLevel="1" x14ac:dyDescent="0.2">
      <c r="C3" s="50" t="s">
        <v>186</v>
      </c>
      <c r="D3" s="246"/>
      <c r="E3" s="247">
        <f>DateRef</f>
        <v>45930</v>
      </c>
      <c r="F3" s="247">
        <f>EOMONTH($E$1,-12)</f>
        <v>45565</v>
      </c>
      <c r="G3" s="248"/>
      <c r="H3" s="247">
        <f>DateRef</f>
        <v>45930</v>
      </c>
      <c r="I3" s="247">
        <f>EOMONTH(H3,-12)</f>
        <v>45565</v>
      </c>
      <c r="J3" s="232"/>
      <c r="K3" s="247">
        <f>EOMONTH(H3,-3)</f>
        <v>45838</v>
      </c>
      <c r="L3" s="232"/>
      <c r="M3" s="11"/>
      <c r="N3" s="247">
        <f>DateRef</f>
        <v>45930</v>
      </c>
      <c r="O3" s="278">
        <f>N3</f>
        <v>45930</v>
      </c>
      <c r="P3" s="247">
        <f>EOMONTH(N3,-3)</f>
        <v>45838</v>
      </c>
      <c r="Q3" s="247">
        <f>P3</f>
        <v>45838</v>
      </c>
      <c r="R3" s="247">
        <f>EOMONTH(P3,-3)</f>
        <v>45747</v>
      </c>
      <c r="S3" s="247">
        <f>R3</f>
        <v>45747</v>
      </c>
      <c r="T3" s="232"/>
      <c r="U3" s="247">
        <f>EOMONTH(R3,-3)</f>
        <v>45657</v>
      </c>
      <c r="V3" s="247">
        <f t="shared" ref="V3" si="3">U3</f>
        <v>45657</v>
      </c>
      <c r="W3" s="247">
        <f>EOMONTH(U3,-3)</f>
        <v>45565</v>
      </c>
      <c r="X3" s="247">
        <f>W3</f>
        <v>45565</v>
      </c>
      <c r="Y3" s="247">
        <f>EOMONTH(W3,-3)</f>
        <v>45473</v>
      </c>
      <c r="Z3" s="247">
        <f t="shared" ref="Z3:AB3" si="4">Y3</f>
        <v>45473</v>
      </c>
      <c r="AA3" s="247">
        <f>EOMONTH(Y3,-3)</f>
        <v>45382</v>
      </c>
      <c r="AB3" s="247">
        <f t="shared" si="4"/>
        <v>45382</v>
      </c>
      <c r="AC3" s="232"/>
      <c r="AD3" s="247">
        <f>EOMONTH(AA3,-3)</f>
        <v>45291</v>
      </c>
      <c r="AE3" s="247">
        <f t="shared" ref="AE3" si="5">AD3</f>
        <v>45291</v>
      </c>
      <c r="AF3" s="247">
        <f>EOMONTH(AD3,-3)</f>
        <v>45199</v>
      </c>
      <c r="AG3" s="247">
        <f t="shared" ref="AG3" si="6">AF3</f>
        <v>45199</v>
      </c>
      <c r="AH3" s="247">
        <f>EOMONTH(AF3,-3)</f>
        <v>45107</v>
      </c>
      <c r="AI3" s="247">
        <f t="shared" ref="AI3:AK3" si="7">AH3</f>
        <v>45107</v>
      </c>
      <c r="AJ3" s="247">
        <f>EOMONTH(AH3,-3)</f>
        <v>45016</v>
      </c>
      <c r="AK3" s="247">
        <f t="shared" si="7"/>
        <v>45016</v>
      </c>
      <c r="AL3" s="232"/>
      <c r="AM3" s="247">
        <f>EOMONTH(AJ3,-3)</f>
        <v>44926</v>
      </c>
      <c r="AN3" s="247">
        <f t="shared" ref="AN3" si="8">AM3</f>
        <v>44926</v>
      </c>
      <c r="AO3" s="247">
        <f t="shared" ref="AO3" si="9">EOMONTH(AM3,-3)</f>
        <v>44834</v>
      </c>
      <c r="AP3" s="247">
        <f t="shared" ref="AP3" si="10">AO3</f>
        <v>44834</v>
      </c>
      <c r="AQ3" s="247">
        <f t="shared" ref="AQ3" si="11">EOMONTH(AO3,-3)</f>
        <v>44742</v>
      </c>
      <c r="AR3" s="247">
        <f t="shared" ref="AR3" si="12">AQ3</f>
        <v>44742</v>
      </c>
      <c r="AS3" s="247">
        <f t="shared" ref="AS3" si="13">EOMONTH(AQ3,-3)</f>
        <v>44651</v>
      </c>
    </row>
    <row r="4" spans="1:45" hidden="1" outlineLevel="1" x14ac:dyDescent="0.2">
      <c r="C4" s="50" t="s">
        <v>172</v>
      </c>
      <c r="D4" s="246"/>
      <c r="E4" s="11" t="str">
        <f>DateYtd</f>
        <v>2025Sep</v>
      </c>
      <c r="F4" s="11" t="str" cm="1">
        <f t="array" ref="F4">YEAR(EOMONTH(DateRef,-12))&amp;INDEX(TableYtd,MONTH(EOMONTH(DateRef,-12)),1)</f>
        <v>2024Sep</v>
      </c>
      <c r="G4" s="248"/>
      <c r="H4" s="11" t="str">
        <f>DateQ</f>
        <v>2025Q3</v>
      </c>
      <c r="I4" s="11" t="str">
        <f>YEAR(I$3)&amp;"Q"&amp;MONTH(I$3)/3</f>
        <v>2024Q3</v>
      </c>
      <c r="J4" s="232"/>
      <c r="K4" s="11" t="str">
        <f>YEAR(K$3)&amp;"Q"&amp;MONTH(K$3)/3</f>
        <v>2025Q2</v>
      </c>
      <c r="L4" s="232"/>
      <c r="M4" s="11"/>
      <c r="N4" s="11" t="str">
        <f>DateYtd</f>
        <v>2025Sep</v>
      </c>
      <c r="O4" s="275" t="str">
        <f>YEAR(O3)&amp;"Q"&amp;MONTH(O3)/3</f>
        <v>2025Q3</v>
      </c>
      <c r="P4" s="11" t="str" cm="1">
        <f t="array" ref="P4">YEAR(P3)&amp;INDEX(TableYtd,MONTH(P3),1)</f>
        <v>2025Jun</v>
      </c>
      <c r="Q4" s="11" t="str">
        <f>YEAR(Q3)&amp;"Q"&amp;MONTH(Q3)/3</f>
        <v>2025Q2</v>
      </c>
      <c r="R4" s="11" t="str" cm="1">
        <f t="array" ref="R4">YEAR(R3)&amp;INDEX(TableYtd,MONTH(R3),1)</f>
        <v>2025Mar</v>
      </c>
      <c r="S4" s="11" t="str">
        <f>YEAR(S3)&amp;"Q"&amp;MONTH(S3)/3</f>
        <v>2025Q1</v>
      </c>
      <c r="T4" s="232"/>
      <c r="U4" s="11" t="str" cm="1">
        <f t="array" ref="U4">YEAR(U3)&amp;INDEX(TableYtd,MONTH(U3),1)</f>
        <v>2024Dec</v>
      </c>
      <c r="V4" s="11" t="str">
        <f t="shared" ref="V4" si="14">YEAR(V3)&amp;"Q"&amp;MONTH(V3)/3</f>
        <v>2024Q4</v>
      </c>
      <c r="W4" s="11" t="str" cm="1">
        <f t="array" ref="W4">YEAR(W3)&amp;INDEX(TableYtd,MONTH(W3),1)</f>
        <v>2024Sep</v>
      </c>
      <c r="X4" s="11" t="str">
        <f t="shared" ref="X4" si="15">YEAR(X3)&amp;"Q"&amp;MONTH(X3)/3</f>
        <v>2024Q3</v>
      </c>
      <c r="Y4" s="11" t="str" cm="1">
        <f t="array" ref="Y4">YEAR(Y3)&amp;INDEX(TableYtd,MONTH(Y3),1)</f>
        <v>2024Jun</v>
      </c>
      <c r="Z4" s="11" t="str">
        <f t="shared" ref="Z4:AB4" si="16">YEAR(Z3)&amp;"Q"&amp;MONTH(Z3)/3</f>
        <v>2024Q2</v>
      </c>
      <c r="AA4" s="11" t="str" cm="1">
        <f t="array" ref="AA4">YEAR(AA3)&amp;INDEX(TableYtd,MONTH(AA3),1)</f>
        <v>2024Mar</v>
      </c>
      <c r="AB4" s="11" t="str">
        <f t="shared" si="16"/>
        <v>2024Q1</v>
      </c>
      <c r="AC4" s="232"/>
      <c r="AD4" s="11" t="str" cm="1">
        <f t="array" ref="AD4">YEAR(AD3)&amp;INDEX(TableYtd,MONTH(AD3),1)</f>
        <v>2023Dec</v>
      </c>
      <c r="AE4" s="11" t="str">
        <f t="shared" ref="AE4" si="17">YEAR(AE3)&amp;"Q"&amp;MONTH(AE3)/3</f>
        <v>2023Q4</v>
      </c>
      <c r="AF4" s="11" t="str" cm="1">
        <f t="array" ref="AF4">YEAR(AF3)&amp;INDEX(TableYtd,MONTH(AF3),1)</f>
        <v>2023Sep</v>
      </c>
      <c r="AG4" s="11" t="str">
        <f t="shared" ref="AG4" si="18">YEAR(AG3)&amp;"Q"&amp;MONTH(AG3)/3</f>
        <v>2023Q3</v>
      </c>
      <c r="AH4" s="11" t="str" cm="1">
        <f t="array" ref="AH4">YEAR(AH3)&amp;INDEX(TableYtd,MONTH(AH3),1)</f>
        <v>2023Jun</v>
      </c>
      <c r="AI4" s="11" t="str">
        <f t="shared" ref="AI4:AK4" si="19">YEAR(AI3)&amp;"Q"&amp;MONTH(AI3)/3</f>
        <v>2023Q2</v>
      </c>
      <c r="AJ4" s="11" t="str" cm="1">
        <f t="array" ref="AJ4">YEAR(AJ3)&amp;INDEX(TableYtd,MONTH(AJ3),1)</f>
        <v>2023Mar</v>
      </c>
      <c r="AK4" s="11" t="str">
        <f t="shared" si="19"/>
        <v>2023Q1</v>
      </c>
      <c r="AL4" s="232"/>
      <c r="AM4" s="11" t="str" cm="1">
        <f t="array" ref="AM4">YEAR(AM3)&amp;INDEX(TableYtd,MONTH(AM3),1)</f>
        <v>2022Dec</v>
      </c>
      <c r="AN4" s="11" t="str">
        <f t="shared" ref="AN4:AP4" si="20">YEAR(AN3)&amp;"Q"&amp;MONTH(AN3)/3</f>
        <v>2022Q4</v>
      </c>
      <c r="AO4" s="11" t="str" cm="1">
        <f t="array" ref="AO4">YEAR(AO3)&amp;INDEX(TableYtd,MONTH(AO3),1)</f>
        <v>2022Sep</v>
      </c>
      <c r="AP4" s="11" t="str">
        <f t="shared" si="20"/>
        <v>2022Q3</v>
      </c>
      <c r="AQ4" s="11" t="str" cm="1">
        <f t="array" ref="AQ4">YEAR(AQ3)&amp;INDEX(TableYtd,MONTH(AQ3),1)</f>
        <v>2022Jun</v>
      </c>
      <c r="AR4" s="11" t="str">
        <f t="shared" ref="AR4" si="21">YEAR(AR3)&amp;"Q"&amp;MONTH(AR3)/3</f>
        <v>2022Q2</v>
      </c>
      <c r="AS4" s="11" t="str" cm="1">
        <f t="array" ref="AS4">YEAR(AS3)&amp;INDEX(TableYtd,MONTH(AS3),1)</f>
        <v>2022Mar</v>
      </c>
    </row>
    <row r="5" spans="1:45" ht="14.25" customHeight="1" collapsed="1" x14ac:dyDescent="0.2">
      <c r="C5" s="321"/>
    </row>
    <row r="6" spans="1:45" ht="17.399999999999999" x14ac:dyDescent="0.3">
      <c r="C6" s="121" t="s">
        <v>187</v>
      </c>
      <c r="D6" s="145"/>
      <c r="E6" s="146">
        <f>DateRef</f>
        <v>45930</v>
      </c>
      <c r="F6" s="147"/>
      <c r="N6" s="121" t="s">
        <v>249</v>
      </c>
    </row>
    <row r="7" spans="1:45" ht="17.399999999999999" x14ac:dyDescent="0.3">
      <c r="C7" s="176" t="s">
        <v>211</v>
      </c>
      <c r="D7" s="145"/>
      <c r="E7" s="146"/>
      <c r="F7" s="147"/>
    </row>
    <row r="8" spans="1:45" ht="27.75" customHeight="1" x14ac:dyDescent="0.25">
      <c r="A8" s="171" t="s">
        <v>175</v>
      </c>
      <c r="B8" s="2"/>
      <c r="C8" s="14" t="s">
        <v>127</v>
      </c>
      <c r="D8" s="74"/>
      <c r="E8" s="62" t="str">
        <f>"AuM 
"&amp;TEXT(DAY(E$1),"00")&amp;"."&amp;TEXT(MONTH(E$1),"00")&amp;"."&amp;YEAR(E$1)</f>
        <v>AuM 
30.09.2025</v>
      </c>
      <c r="F8" s="62" t="str">
        <f>"AuM 
"&amp;TEXT(DAY(F$1),"00")&amp;"."&amp;TEXT(MONTH(F$1),"00")&amp;"."&amp;YEAR(F$1)</f>
        <v>AuM 
30.09.2024</v>
      </c>
      <c r="G8" s="62" t="str">
        <f>"%ch. 
/ "&amp;TEXT(DAY(F$1),"00")&amp;"."&amp;TEXT(MONTH(F$1),"00")&amp;"."&amp;YEAR(F$1)</f>
        <v>%ch. 
/ 30.09.2024</v>
      </c>
      <c r="H8" s="62" t="str">
        <f>"AuM 
"&amp;TEXT(DAY(H$1),"00")&amp;"."&amp;TEXT(MONTH(H$1),"00")&amp;"."&amp;YEAR(H$1)</f>
        <v>AuM 
30.06.2025</v>
      </c>
      <c r="I8" s="62" t="str">
        <f>"%ch. 
/ "&amp;TEXT(DAY(H$1),"00")&amp;"."&amp;TEXT(MONTH(H$1),"00")&amp;"."&amp;YEAR(H$1)</f>
        <v>%ch. 
/ 30.06.2025</v>
      </c>
      <c r="K8" s="62" t="str">
        <f>"AuM 
"&amp;TEXT(DAY(K$1),"00")&amp;"."&amp;TEXT(MONTH(K$1),"00")&amp;"."&amp;YEAR(K$1)</f>
        <v>AuM 
31.12.2024</v>
      </c>
      <c r="L8" s="62" t="str">
        <f>"%ch. 
/ "&amp;TEXT(DAY(K$1),"00")&amp;"."&amp;TEXT(MONTH(K$1),"00")&amp;"."&amp;YEAR(K$1)</f>
        <v>%ch. 
/ 31.12.2024</v>
      </c>
      <c r="N8" s="62" t="str">
        <f>"AuM 
"&amp;TEXT(DAY(N$1),"00")&amp;"."&amp;TEXT(MONTH(N$1),"00")&amp;"."&amp;YEAR(N$1)</f>
        <v>AuM 
30.09.2025</v>
      </c>
      <c r="O8" s="108"/>
      <c r="P8" s="62" t="str">
        <f>"AuM 
"&amp;TEXT(DAY(P$1),"00")&amp;"."&amp;TEXT(MONTH(P$1),"00")&amp;"."&amp;YEAR(P$1)</f>
        <v>AuM 
30.06.2025</v>
      </c>
      <c r="Q8" s="108"/>
      <c r="R8" s="62" t="str">
        <f>"AuM 
"&amp;TEXT(DAY(R$1),"00")&amp;"."&amp;TEXT(MONTH(R$1),"00")&amp;"."&amp;YEAR(R$1)</f>
        <v>AuM 
31.03.2025</v>
      </c>
      <c r="S8" s="108"/>
      <c r="U8" s="62" t="str">
        <f>"AuM 
"&amp;TEXT(DAY(U$1),"00")&amp;"."&amp;TEXT(MONTH(U$1),"00")&amp;"."&amp;YEAR(U$1)</f>
        <v>AuM 
31.12.2024</v>
      </c>
      <c r="V8" s="108"/>
      <c r="W8" s="62" t="str">
        <f>"AuM 
"&amp;TEXT(DAY(W$1),"00")&amp;"."&amp;TEXT(MONTH(W$1),"00")&amp;"."&amp;YEAR(W$1)</f>
        <v>AuM 
30.09.2024</v>
      </c>
      <c r="X8" s="108"/>
      <c r="Y8" s="62" t="str">
        <f>"AuM 
"&amp;TEXT(DAY(Y$1),"00")&amp;"."&amp;TEXT(MONTH(Y$1),"00")&amp;"."&amp;YEAR(Y$1)</f>
        <v>AuM 
30.06.2024</v>
      </c>
      <c r="Z8" s="108"/>
      <c r="AA8" s="62" t="str">
        <f>"AuM 
"&amp;TEXT(DAY(AA$1),"00")&amp;"."&amp;TEXT(MONTH(AA$1),"00")&amp;"."&amp;YEAR(AA$1)</f>
        <v>AuM 
31.03.2024</v>
      </c>
      <c r="AB8" s="108"/>
      <c r="AD8" s="62" t="str">
        <f>"AuM 
"&amp;TEXT(DAY(AD$1),"00")&amp;"."&amp;TEXT(MONTH(AD$1),"00")&amp;"."&amp;YEAR(AD$1)</f>
        <v>AuM 
31.12.2023</v>
      </c>
      <c r="AE8" s="108"/>
      <c r="AF8" s="62" t="str">
        <f>"AuM 
"&amp;TEXT(DAY(AF$1),"00")&amp;"."&amp;TEXT(MONTH(AF$1),"00")&amp;"."&amp;YEAR(AF$1)</f>
        <v>AuM 
30.09.2023</v>
      </c>
      <c r="AG8" s="108"/>
      <c r="AH8" s="62" t="str">
        <f>"AuM 
"&amp;TEXT(DAY(AH$1),"00")&amp;"."&amp;TEXT(MONTH(AH$1),"00")&amp;"."&amp;YEAR(AH$1)</f>
        <v>AuM 
30.06.2023</v>
      </c>
      <c r="AI8" s="108"/>
      <c r="AJ8" s="62" t="str">
        <f>"AuM 
"&amp;TEXT(DAY(AJ$1),"00")&amp;"."&amp;TEXT(MONTH(AJ$1),"00")&amp;"."&amp;YEAR(AJ$1)</f>
        <v>AuM 
31.03.2023</v>
      </c>
      <c r="AK8" s="108"/>
      <c r="AM8" s="62" t="str">
        <f>"AuM 
"&amp;TEXT(DAY(AM$1),"00")&amp;"."&amp;TEXT(MONTH(AM$1),"00")&amp;"."&amp;YEAR(AM$1)</f>
        <v>AuM 
31.12.2022</v>
      </c>
      <c r="AN8" s="108"/>
      <c r="AO8" s="62" t="str">
        <f>"AuM 
"&amp;TEXT(DAY(AO$1),"00")&amp;"."&amp;TEXT(MONTH(AO$1),"00")&amp;"."&amp;YEAR(AO$1)</f>
        <v>AuM 
30.09.2022</v>
      </c>
      <c r="AP8" s="108"/>
      <c r="AQ8" s="62" t="str">
        <f>"AuM 
"&amp;TEXT(DAY(AQ$1),"00")&amp;"."&amp;TEXT(MONTH(AQ$1),"00")&amp;"."&amp;YEAR(AQ$1)</f>
        <v>AuM 
30.06.2022</v>
      </c>
      <c r="AR8" s="108"/>
      <c r="AS8" s="62" t="str">
        <f>"AuM 
"&amp;TEXT(DAY(AS$1),"00")&amp;"."&amp;TEXT(MONTH(AS$1),"00")&amp;"."&amp;YEAR(AS$1)</f>
        <v>AuM 
31.03.2022</v>
      </c>
    </row>
    <row r="9" spans="1:45" ht="15" customHeight="1" x14ac:dyDescent="0.25">
      <c r="A9" s="64" t="s">
        <v>128</v>
      </c>
      <c r="B9" s="51"/>
      <c r="C9" s="90" t="s">
        <v>128</v>
      </c>
      <c r="D9" s="75"/>
      <c r="E9" s="163">
        <v>680365506149.65417</v>
      </c>
      <c r="F9" s="163">
        <v>681315390453.23071</v>
      </c>
      <c r="G9" s="164">
        <f t="shared" ref="G9:I21" si="22">IF(ISERROR($E9*F9),"NM",IF($E9*F9&gt;0,IF($E9/F9&gt;2,"NM",$E9/F9-1),"NM"))</f>
        <v>-1.3941917603602638E-3</v>
      </c>
      <c r="H9" s="163">
        <v>650249856361.7605</v>
      </c>
      <c r="I9" s="164">
        <f t="shared" si="22"/>
        <v>4.6313966075125279E-2</v>
      </c>
      <c r="K9" s="163">
        <v>706487130669.71045</v>
      </c>
      <c r="L9" s="164">
        <f>IF(ISERROR($E9*K9),"NM",IF($E9*K9&gt;0,IF($E9/K9&gt;2,"NM",$E9/K9-1),"NM"))</f>
        <v>-3.6973956617290971E-2</v>
      </c>
      <c r="N9" s="163">
        <v>680365506149.65417</v>
      </c>
      <c r="O9" s="108"/>
      <c r="P9" s="163">
        <v>650249856361.7605</v>
      </c>
      <c r="Q9" s="108"/>
      <c r="R9" s="163">
        <v>699728165918.79944</v>
      </c>
      <c r="S9" s="108"/>
      <c r="U9" s="163">
        <v>706487130669.71045</v>
      </c>
      <c r="V9" s="108"/>
      <c r="W9" s="163">
        <v>681315390453.23071</v>
      </c>
      <c r="X9" s="108"/>
      <c r="Y9" s="163">
        <v>657789268677.42993</v>
      </c>
      <c r="Z9" s="108"/>
      <c r="AA9" s="163">
        <v>646782281678.5199</v>
      </c>
      <c r="AB9" s="108"/>
      <c r="AD9" s="163">
        <v>610992763570.54626</v>
      </c>
      <c r="AE9" s="108"/>
      <c r="AF9" s="163">
        <v>586980176031.22632</v>
      </c>
      <c r="AG9" s="108"/>
      <c r="AH9" s="163">
        <v>590365664368.00977</v>
      </c>
      <c r="AI9" s="108"/>
      <c r="AJ9" s="163">
        <v>577864488848.46997</v>
      </c>
      <c r="AK9" s="108"/>
      <c r="AM9" s="163">
        <v>562090314647.42017</v>
      </c>
      <c r="AN9" s="108"/>
      <c r="AO9" s="163">
        <v>562342632281.8584</v>
      </c>
      <c r="AP9" s="108"/>
      <c r="AQ9" s="163">
        <v>572819060806.49854</v>
      </c>
      <c r="AR9" s="108"/>
      <c r="AS9" s="163">
        <v>616830598783.03357</v>
      </c>
    </row>
    <row r="10" spans="1:45" ht="15" customHeight="1" x14ac:dyDescent="0.2">
      <c r="A10" s="51" t="s">
        <v>176</v>
      </c>
      <c r="B10" s="51"/>
      <c r="C10" s="86" t="s">
        <v>125</v>
      </c>
      <c r="D10" s="86"/>
      <c r="E10" s="165">
        <v>144422764817.32376</v>
      </c>
      <c r="F10" s="165">
        <v>137500138635.42007</v>
      </c>
      <c r="G10" s="177">
        <f t="shared" si="22"/>
        <v>5.0346321469965538E-2</v>
      </c>
      <c r="H10" s="165">
        <v>139001411038.74005</v>
      </c>
      <c r="I10" s="177">
        <f t="shared" si="22"/>
        <v>3.9002149244893314E-2</v>
      </c>
      <c r="K10" s="165">
        <v>138407637763.71002</v>
      </c>
      <c r="L10" s="177">
        <f t="shared" ref="L10:L21" si="23">IF(ISERROR($E10*K10),"NM",IF($E10*K10&gt;0,IF($E10/K10&gt;2,"NM",$E10/K10-1),"NM"))</f>
        <v>4.3459502313613507E-2</v>
      </c>
      <c r="M10" s="305"/>
      <c r="N10" s="165">
        <v>144422764817.32376</v>
      </c>
      <c r="O10" s="158"/>
      <c r="P10" s="165">
        <v>139001411038.74005</v>
      </c>
      <c r="Q10" s="158"/>
      <c r="R10" s="165">
        <v>138855532876.28003</v>
      </c>
      <c r="S10" s="158"/>
      <c r="U10" s="165">
        <v>138407637763.71002</v>
      </c>
      <c r="V10" s="158"/>
      <c r="W10" s="165">
        <v>137500138635.42007</v>
      </c>
      <c r="X10" s="158"/>
      <c r="Y10" s="165">
        <v>133319917679.53995</v>
      </c>
      <c r="Z10" s="158"/>
      <c r="AA10" s="165">
        <v>137012004216.57002</v>
      </c>
      <c r="AB10" s="158"/>
      <c r="AD10" s="165">
        <v>132191936991.2162</v>
      </c>
      <c r="AE10" s="158"/>
      <c r="AF10" s="165">
        <v>126070679779.29623</v>
      </c>
      <c r="AG10" s="158"/>
      <c r="AH10" s="165">
        <v>126826141939.47</v>
      </c>
      <c r="AI10" s="158"/>
      <c r="AJ10" s="165">
        <v>124491597488.23003</v>
      </c>
      <c r="AK10" s="158"/>
      <c r="AM10" s="165">
        <v>118534693608.48997</v>
      </c>
      <c r="AN10" s="158"/>
      <c r="AO10" s="165">
        <v>113771756528.68828</v>
      </c>
      <c r="AP10" s="158"/>
      <c r="AQ10" s="165">
        <v>115157906184.72844</v>
      </c>
      <c r="AR10" s="158"/>
      <c r="AS10" s="165">
        <v>122369495200.15234</v>
      </c>
    </row>
    <row r="11" spans="1:45" ht="12" x14ac:dyDescent="0.25">
      <c r="A11" s="51" t="s">
        <v>245</v>
      </c>
      <c r="B11" s="51"/>
      <c r="C11" s="86" t="s">
        <v>126</v>
      </c>
      <c r="D11" s="87"/>
      <c r="E11" s="165">
        <v>162202643505.53998</v>
      </c>
      <c r="F11" s="165">
        <v>167138898554.62018</v>
      </c>
      <c r="G11" s="177">
        <f t="shared" si="22"/>
        <v>-2.9533849341881746E-2</v>
      </c>
      <c r="H11" s="165">
        <v>161312654067.00995</v>
      </c>
      <c r="I11" s="177">
        <f t="shared" si="22"/>
        <v>5.5171706378367436E-3</v>
      </c>
      <c r="K11" s="165">
        <v>166913065929.62994</v>
      </c>
      <c r="L11" s="177">
        <f t="shared" si="23"/>
        <v>-2.8220813019370627E-2</v>
      </c>
      <c r="M11" s="305"/>
      <c r="N11" s="165">
        <v>162202643505.53998</v>
      </c>
      <c r="O11" s="158"/>
      <c r="P11" s="165">
        <v>161312654067.00995</v>
      </c>
      <c r="Q11" s="158"/>
      <c r="R11" s="165">
        <v>162431633762.88004</v>
      </c>
      <c r="S11" s="158"/>
      <c r="U11" s="165">
        <v>166913065929.62994</v>
      </c>
      <c r="V11" s="158"/>
      <c r="W11" s="165">
        <v>167138898554.62018</v>
      </c>
      <c r="X11" s="158"/>
      <c r="Y11" s="165">
        <v>165408582212.33017</v>
      </c>
      <c r="Z11" s="158"/>
      <c r="AA11" s="165">
        <v>165009233028.57001</v>
      </c>
      <c r="AB11" s="158"/>
      <c r="AD11" s="165">
        <v>162012460943.76978</v>
      </c>
      <c r="AE11" s="158"/>
      <c r="AF11" s="165">
        <v>156003968824.66003</v>
      </c>
      <c r="AG11" s="158"/>
      <c r="AH11" s="165">
        <v>158295315881.26996</v>
      </c>
      <c r="AI11" s="158"/>
      <c r="AJ11" s="165">
        <v>157391910190.93991</v>
      </c>
      <c r="AK11" s="158"/>
      <c r="AM11" s="165">
        <v>156236782993.52005</v>
      </c>
      <c r="AN11" s="158"/>
      <c r="AO11" s="165">
        <v>156227899591.80991</v>
      </c>
      <c r="AP11" s="158"/>
      <c r="AQ11" s="165">
        <v>159723519786.85974</v>
      </c>
      <c r="AR11" s="158"/>
      <c r="AS11" s="165">
        <v>172228974333.84</v>
      </c>
    </row>
    <row r="12" spans="1:45" x14ac:dyDescent="0.2">
      <c r="A12" s="65" t="s">
        <v>177</v>
      </c>
      <c r="B12" s="51"/>
      <c r="C12" s="98" t="s">
        <v>131</v>
      </c>
      <c r="D12" s="88"/>
      <c r="E12" s="170">
        <v>3458445785.9499998</v>
      </c>
      <c r="F12" s="170">
        <v>2615545767.3699999</v>
      </c>
      <c r="G12" s="178">
        <f t="shared" si="22"/>
        <v>0.32226544421264625</v>
      </c>
      <c r="H12" s="170">
        <v>2813782906.8299999</v>
      </c>
      <c r="I12" s="178">
        <f t="shared" si="22"/>
        <v>0.22910896130443681</v>
      </c>
      <c r="K12" s="170">
        <v>2082543793.0799999</v>
      </c>
      <c r="L12" s="178">
        <f t="shared" si="23"/>
        <v>0.6606833419023066</v>
      </c>
      <c r="M12" s="305"/>
      <c r="N12" s="170">
        <v>3458445785.9499998</v>
      </c>
      <c r="O12" s="295"/>
      <c r="P12" s="170">
        <v>2813782906.8299999</v>
      </c>
      <c r="Q12" s="160"/>
      <c r="R12" s="170">
        <v>2298702234.1100001</v>
      </c>
      <c r="S12" s="160"/>
      <c r="U12" s="170">
        <v>2082543793.0799999</v>
      </c>
      <c r="V12" s="160"/>
      <c r="W12" s="170">
        <v>2615545767.3699999</v>
      </c>
      <c r="X12" s="160"/>
      <c r="Y12" s="170">
        <v>3309642153.2600002</v>
      </c>
      <c r="Z12" s="160"/>
      <c r="AA12" s="170">
        <v>2917071462.9200001</v>
      </c>
      <c r="AB12" s="160"/>
      <c r="AD12" s="170">
        <v>3095840334.3699999</v>
      </c>
      <c r="AE12" s="160"/>
      <c r="AF12" s="170">
        <v>3576980655.25</v>
      </c>
      <c r="AG12" s="160"/>
      <c r="AH12" s="170">
        <v>3933764331.3699999</v>
      </c>
      <c r="AI12" s="160"/>
      <c r="AJ12" s="170">
        <v>4143687494.4200001</v>
      </c>
      <c r="AK12" s="160"/>
      <c r="AM12" s="170">
        <v>6869550992.9300003</v>
      </c>
      <c r="AN12" s="160"/>
      <c r="AO12" s="170">
        <v>9885447230.2200089</v>
      </c>
      <c r="AP12" s="160"/>
      <c r="AQ12" s="170">
        <v>11558386238.140001</v>
      </c>
      <c r="AR12" s="160"/>
      <c r="AS12" s="170">
        <v>13259267327.93</v>
      </c>
    </row>
    <row r="13" spans="1:45" x14ac:dyDescent="0.2">
      <c r="A13" s="51" t="s">
        <v>178</v>
      </c>
      <c r="B13" s="51"/>
      <c r="C13" s="86" t="s">
        <v>132</v>
      </c>
      <c r="D13" s="86"/>
      <c r="E13" s="165">
        <v>373740097826.79047</v>
      </c>
      <c r="F13" s="165">
        <v>376676353263.19043</v>
      </c>
      <c r="G13" s="177">
        <f t="shared" si="22"/>
        <v>-7.7951679497872961E-3</v>
      </c>
      <c r="H13" s="165">
        <v>349935791256.0105</v>
      </c>
      <c r="I13" s="177">
        <f t="shared" si="22"/>
        <v>6.8024783876322381E-2</v>
      </c>
      <c r="K13" s="165">
        <v>401166426976.37036</v>
      </c>
      <c r="L13" s="177">
        <f t="shared" si="23"/>
        <v>-6.836646166104865E-2</v>
      </c>
      <c r="M13" s="305"/>
      <c r="N13" s="165">
        <v>373740097826.79047</v>
      </c>
      <c r="O13" s="158"/>
      <c r="P13" s="165">
        <v>349935791256.0105</v>
      </c>
      <c r="Q13" s="158"/>
      <c r="R13" s="165">
        <v>398440999279.6394</v>
      </c>
      <c r="S13" s="158"/>
      <c r="U13" s="165">
        <v>401166426976.37036</v>
      </c>
      <c r="V13" s="158"/>
      <c r="W13" s="165">
        <v>376676353263.19043</v>
      </c>
      <c r="X13" s="158"/>
      <c r="Y13" s="165">
        <v>359060768785.55975</v>
      </c>
      <c r="Z13" s="158"/>
      <c r="AA13" s="165">
        <v>344761044433.37988</v>
      </c>
      <c r="AB13" s="158"/>
      <c r="AD13" s="165">
        <v>316788365635.5603</v>
      </c>
      <c r="AE13" s="158"/>
      <c r="AF13" s="165">
        <v>304905527427.27002</v>
      </c>
      <c r="AG13" s="158"/>
      <c r="AH13" s="165">
        <v>305244206547.26971</v>
      </c>
      <c r="AI13" s="158"/>
      <c r="AJ13" s="165">
        <v>295980981169.30011</v>
      </c>
      <c r="AK13" s="158"/>
      <c r="AM13" s="165">
        <v>287318838045.41022</v>
      </c>
      <c r="AN13" s="158"/>
      <c r="AO13" s="165">
        <v>292342976161.36023</v>
      </c>
      <c r="AP13" s="158"/>
      <c r="AQ13" s="165">
        <v>297937634834.91028</v>
      </c>
      <c r="AR13" s="158"/>
      <c r="AS13" s="165">
        <v>322232129249.04126</v>
      </c>
    </row>
    <row r="14" spans="1:45" ht="15" customHeight="1" x14ac:dyDescent="0.2">
      <c r="A14" s="173" t="s">
        <v>179</v>
      </c>
      <c r="B14" s="51"/>
      <c r="C14" s="90" t="s">
        <v>129</v>
      </c>
      <c r="D14" s="74"/>
      <c r="E14" s="163">
        <v>1223003043362.5186</v>
      </c>
      <c r="F14" s="163">
        <v>1150714506843.0234</v>
      </c>
      <c r="G14" s="164">
        <f t="shared" si="22"/>
        <v>6.2820565908930925E-2</v>
      </c>
      <c r="H14" s="163">
        <v>1200590008557.4482</v>
      </c>
      <c r="I14" s="164">
        <f t="shared" si="22"/>
        <v>1.8668350265550249E-2</v>
      </c>
      <c r="K14" s="163">
        <v>1161712654176.4966</v>
      </c>
      <c r="L14" s="164">
        <f t="shared" si="23"/>
        <v>5.2758648161122856E-2</v>
      </c>
      <c r="N14" s="163">
        <v>1223003043362.5186</v>
      </c>
      <c r="O14" s="108"/>
      <c r="P14" s="163">
        <v>1200590008557.4482</v>
      </c>
      <c r="Q14" s="108"/>
      <c r="R14" s="163">
        <v>1185550816617.5598</v>
      </c>
      <c r="S14" s="108"/>
      <c r="U14" s="163">
        <v>1161712654176.4966</v>
      </c>
      <c r="V14" s="108"/>
      <c r="W14" s="163">
        <v>1150714506843.0234</v>
      </c>
      <c r="X14" s="108"/>
      <c r="Y14" s="163">
        <v>1141835108373.8716</v>
      </c>
      <c r="Z14" s="108"/>
      <c r="AA14" s="163">
        <v>1136940387866.5996</v>
      </c>
      <c r="AB14" s="108"/>
      <c r="AD14" s="163">
        <v>1109778381607.967</v>
      </c>
      <c r="AE14" s="108"/>
      <c r="AF14" s="163">
        <v>1076369043828.2417</v>
      </c>
      <c r="AG14" s="108"/>
      <c r="AH14" s="163">
        <v>1073426984880.6763</v>
      </c>
      <c r="AI14" s="108"/>
      <c r="AJ14" s="163">
        <v>1063716862953.8093</v>
      </c>
      <c r="AK14" s="108"/>
      <c r="AM14" s="163">
        <v>1046381004374.739</v>
      </c>
      <c r="AN14" s="108"/>
      <c r="AO14" s="163">
        <v>1013429357199.1274</v>
      </c>
      <c r="AP14" s="108"/>
      <c r="AQ14" s="163">
        <v>1043395312542.4486</v>
      </c>
      <c r="AR14" s="108"/>
      <c r="AS14" s="163">
        <v>1107946109723.2603</v>
      </c>
    </row>
    <row r="15" spans="1:45" ht="15" customHeight="1" x14ac:dyDescent="0.2">
      <c r="A15" s="66" t="s">
        <v>180</v>
      </c>
      <c r="B15" s="51"/>
      <c r="C15" s="86" t="s">
        <v>122</v>
      </c>
      <c r="D15" s="86"/>
      <c r="E15" s="165">
        <v>555864678645.40662</v>
      </c>
      <c r="F15" s="165">
        <v>518223884084.88702</v>
      </c>
      <c r="G15" s="177">
        <f t="shared" si="22"/>
        <v>7.2634233420152183E-2</v>
      </c>
      <c r="H15" s="165">
        <v>548235202562.2998</v>
      </c>
      <c r="I15" s="177">
        <f t="shared" si="22"/>
        <v>1.3916428655892155E-2</v>
      </c>
      <c r="K15" s="165">
        <v>520776878613.23346</v>
      </c>
      <c r="L15" s="177">
        <f t="shared" si="23"/>
        <v>6.7375879139657258E-2</v>
      </c>
      <c r="N15" s="165">
        <v>555864678645.40662</v>
      </c>
      <c r="O15" s="158"/>
      <c r="P15" s="165">
        <v>548235202562.2998</v>
      </c>
      <c r="Q15" s="158"/>
      <c r="R15" s="165">
        <v>549500050576.3222</v>
      </c>
      <c r="S15" s="158"/>
      <c r="U15" s="165">
        <v>520776878613.23346</v>
      </c>
      <c r="V15" s="158"/>
      <c r="W15" s="165">
        <v>518223884084.88702</v>
      </c>
      <c r="X15" s="158"/>
      <c r="Y15" s="165">
        <v>519913274758.3446</v>
      </c>
      <c r="Z15" s="158"/>
      <c r="AA15" s="165">
        <v>511387377437.85376</v>
      </c>
      <c r="AB15" s="158"/>
      <c r="AD15" s="165">
        <v>485654995843.12988</v>
      </c>
      <c r="AE15" s="158"/>
      <c r="AF15" s="165">
        <v>489020230909.83002</v>
      </c>
      <c r="AG15" s="158"/>
      <c r="AH15" s="165">
        <v>472539539282.25012</v>
      </c>
      <c r="AI15" s="158"/>
      <c r="AJ15" s="165">
        <v>472466447712.96478</v>
      </c>
      <c r="AK15" s="158"/>
      <c r="AM15" s="165">
        <v>453009253266.6366</v>
      </c>
      <c r="AN15" s="158"/>
      <c r="AO15" s="165">
        <v>438492859696.57092</v>
      </c>
      <c r="AP15" s="158"/>
      <c r="AQ15" s="165">
        <v>447957338598.57086</v>
      </c>
      <c r="AR15" s="158"/>
      <c r="AS15" s="165">
        <v>476499914414.89935</v>
      </c>
    </row>
    <row r="16" spans="1:45" x14ac:dyDescent="0.2">
      <c r="A16" s="66" t="s">
        <v>181</v>
      </c>
      <c r="B16" s="51"/>
      <c r="C16" s="86" t="s">
        <v>123</v>
      </c>
      <c r="D16" s="86"/>
      <c r="E16" s="165">
        <v>116381468916.72998</v>
      </c>
      <c r="F16" s="165">
        <v>112661462094.77994</v>
      </c>
      <c r="G16" s="177">
        <f t="shared" si="22"/>
        <v>3.3019337338445531E-2</v>
      </c>
      <c r="H16" s="165">
        <v>106571537307.47993</v>
      </c>
      <c r="I16" s="177">
        <f t="shared" si="22"/>
        <v>9.2050202681664084E-2</v>
      </c>
      <c r="K16" s="165">
        <v>121837367879.91</v>
      </c>
      <c r="L16" s="177">
        <f t="shared" si="23"/>
        <v>-4.4780177527781739E-2</v>
      </c>
      <c r="N16" s="165">
        <v>116381468916.72998</v>
      </c>
      <c r="O16" s="158"/>
      <c r="P16" s="165">
        <v>106571537307.47993</v>
      </c>
      <c r="Q16" s="158"/>
      <c r="R16" s="165">
        <v>110686901283.70993</v>
      </c>
      <c r="S16" s="158"/>
      <c r="U16" s="165">
        <v>121837367879.91</v>
      </c>
      <c r="V16" s="158"/>
      <c r="W16" s="165">
        <v>112661462094.77994</v>
      </c>
      <c r="X16" s="158"/>
      <c r="Y16" s="165">
        <v>108068101253.98007</v>
      </c>
      <c r="Z16" s="158"/>
      <c r="AA16" s="165">
        <v>108359367356.44006</v>
      </c>
      <c r="AB16" s="158"/>
      <c r="AD16" s="165">
        <v>110911070723.05</v>
      </c>
      <c r="AE16" s="158"/>
      <c r="AF16" s="165">
        <v>97147903883.289993</v>
      </c>
      <c r="AG16" s="158"/>
      <c r="AH16" s="165">
        <v>101428956332.26003</v>
      </c>
      <c r="AI16" s="158"/>
      <c r="AJ16" s="165">
        <v>96413579354.220001</v>
      </c>
      <c r="AK16" s="158"/>
      <c r="AM16" s="165">
        <v>102252879027.83997</v>
      </c>
      <c r="AN16" s="158"/>
      <c r="AO16" s="165">
        <v>84084221875.130051</v>
      </c>
      <c r="AP16" s="158"/>
      <c r="AQ16" s="165">
        <v>85988369270.570007</v>
      </c>
      <c r="AR16" s="158"/>
      <c r="AS16" s="165">
        <v>94541671134.829941</v>
      </c>
    </row>
    <row r="17" spans="1:45" x14ac:dyDescent="0.2">
      <c r="A17" s="66" t="s">
        <v>182</v>
      </c>
      <c r="B17" s="51"/>
      <c r="C17" s="86" t="s">
        <v>236</v>
      </c>
      <c r="D17" s="86"/>
      <c r="E17" s="165">
        <v>101094777853.99202</v>
      </c>
      <c r="F17" s="165">
        <v>91933722181.566406</v>
      </c>
      <c r="G17" s="177">
        <f t="shared" si="22"/>
        <v>9.9648479959647318E-2</v>
      </c>
      <c r="H17" s="165">
        <v>101134373126.98853</v>
      </c>
      <c r="I17" s="177">
        <f t="shared" si="22"/>
        <v>-3.9151152839789205E-4</v>
      </c>
      <c r="K17" s="165">
        <v>89722903253.173492</v>
      </c>
      <c r="L17" s="177">
        <f t="shared" si="23"/>
        <v>0.12674438954265899</v>
      </c>
      <c r="N17" s="165">
        <v>101094777853.99202</v>
      </c>
      <c r="O17" s="158"/>
      <c r="P17" s="165">
        <v>101134373126.98853</v>
      </c>
      <c r="Q17" s="158"/>
      <c r="R17" s="165">
        <v>95164583035.527542</v>
      </c>
      <c r="S17" s="158"/>
      <c r="U17" s="165">
        <v>89722903253.173492</v>
      </c>
      <c r="V17" s="158"/>
      <c r="W17" s="165">
        <v>91933722181.566406</v>
      </c>
      <c r="X17" s="158"/>
      <c r="Y17" s="165">
        <v>89645112517.546844</v>
      </c>
      <c r="Z17" s="158"/>
      <c r="AA17" s="165">
        <v>89798885328.955841</v>
      </c>
      <c r="AB17" s="158"/>
      <c r="AD17" s="165">
        <v>86475779681.437134</v>
      </c>
      <c r="AE17" s="158"/>
      <c r="AF17" s="165">
        <v>83709922504.381607</v>
      </c>
      <c r="AG17" s="158"/>
      <c r="AH17" s="165">
        <v>83426896308.676239</v>
      </c>
      <c r="AI17" s="158"/>
      <c r="AJ17" s="165">
        <v>78658849358.394516</v>
      </c>
      <c r="AK17" s="158"/>
      <c r="AM17" s="165">
        <v>75808495373.562271</v>
      </c>
      <c r="AN17" s="158"/>
      <c r="AO17" s="165">
        <v>71269450174.13649</v>
      </c>
      <c r="AP17" s="158"/>
      <c r="AQ17" s="165">
        <v>74422769448.53772</v>
      </c>
      <c r="AR17" s="158"/>
      <c r="AS17" s="165">
        <v>74968895017.381104</v>
      </c>
    </row>
    <row r="18" spans="1:45" x14ac:dyDescent="0.2">
      <c r="A18" s="66" t="s">
        <v>183</v>
      </c>
      <c r="B18" s="51"/>
      <c r="C18" s="86" t="s">
        <v>237</v>
      </c>
      <c r="D18" s="86"/>
      <c r="E18" s="165">
        <v>449662117946.38995</v>
      </c>
      <c r="F18" s="165">
        <v>427895438481.7901</v>
      </c>
      <c r="G18" s="177">
        <f t="shared" si="22"/>
        <v>5.0869155188542958E-2</v>
      </c>
      <c r="H18" s="165">
        <v>444648895560.67999</v>
      </c>
      <c r="I18" s="177">
        <f t="shared" si="22"/>
        <v>1.1274563899205337E-2</v>
      </c>
      <c r="K18" s="165">
        <v>429375504430.17999</v>
      </c>
      <c r="L18" s="177">
        <f t="shared" si="23"/>
        <v>4.7246788200300704E-2</v>
      </c>
      <c r="N18" s="165">
        <v>449662117946.38995</v>
      </c>
      <c r="O18" s="158"/>
      <c r="P18" s="165">
        <v>444648895560.67999</v>
      </c>
      <c r="Q18" s="158"/>
      <c r="R18" s="165">
        <v>430199281722</v>
      </c>
      <c r="S18" s="158"/>
      <c r="U18" s="165">
        <v>429375504430.17999</v>
      </c>
      <c r="V18" s="158"/>
      <c r="W18" s="165">
        <v>427895438481.7901</v>
      </c>
      <c r="X18" s="158"/>
      <c r="Y18" s="165">
        <v>424208619843.99994</v>
      </c>
      <c r="Z18" s="158"/>
      <c r="AA18" s="165">
        <v>427394757743.34998</v>
      </c>
      <c r="AB18" s="158"/>
      <c r="AD18" s="165">
        <v>426736535360.35004</v>
      </c>
      <c r="AE18" s="158"/>
      <c r="AF18" s="165">
        <v>406490986530.74005</v>
      </c>
      <c r="AG18" s="158"/>
      <c r="AH18" s="165">
        <v>416031592957.48993</v>
      </c>
      <c r="AI18" s="158"/>
      <c r="AJ18" s="165">
        <v>416177986528.22992</v>
      </c>
      <c r="AK18" s="158"/>
      <c r="AM18" s="165">
        <v>415310376706.70013</v>
      </c>
      <c r="AN18" s="158"/>
      <c r="AO18" s="165">
        <v>419582825453.29004</v>
      </c>
      <c r="AP18" s="158"/>
      <c r="AQ18" s="165">
        <v>435026835224.77002</v>
      </c>
      <c r="AR18" s="158"/>
      <c r="AS18" s="165">
        <v>461935629156.1499</v>
      </c>
    </row>
    <row r="19" spans="1:45" ht="15" customHeight="1" x14ac:dyDescent="0.2">
      <c r="A19" s="64" t="s">
        <v>143</v>
      </c>
      <c r="B19" s="51"/>
      <c r="C19" s="90" t="s">
        <v>124</v>
      </c>
      <c r="D19" s="86"/>
      <c r="E19" s="166">
        <v>354217669453.65009</v>
      </c>
      <c r="F19" s="166">
        <v>359515336124.71002</v>
      </c>
      <c r="G19" s="167">
        <f t="shared" si="22"/>
        <v>-1.4735579094245499E-2</v>
      </c>
      <c r="H19" s="166">
        <v>358647282110.56989</v>
      </c>
      <c r="I19" s="167">
        <f t="shared" si="22"/>
        <v>-1.2350888680523031E-2</v>
      </c>
      <c r="K19" s="166">
        <v>371866583611.28998</v>
      </c>
      <c r="L19" s="167">
        <f t="shared" si="23"/>
        <v>-4.7460339098627347E-2</v>
      </c>
      <c r="N19" s="166">
        <v>354217669453.65009</v>
      </c>
      <c r="O19" s="108"/>
      <c r="P19" s="166">
        <v>358647282110.56989</v>
      </c>
      <c r="Q19" s="108"/>
      <c r="R19" s="166">
        <v>361907983965.75989</v>
      </c>
      <c r="S19" s="108"/>
      <c r="U19" s="166">
        <v>371866583611.28998</v>
      </c>
      <c r="V19" s="108"/>
      <c r="W19" s="166">
        <v>359515336124.71002</v>
      </c>
      <c r="X19" s="108"/>
      <c r="Y19" s="166">
        <v>356473313722.65002</v>
      </c>
      <c r="Z19" s="108"/>
      <c r="AA19" s="166">
        <v>332422357804.55005</v>
      </c>
      <c r="AB19" s="108"/>
      <c r="AD19" s="166">
        <v>315816888391.16998</v>
      </c>
      <c r="AE19" s="108"/>
      <c r="AF19" s="166">
        <v>309955173475.96002</v>
      </c>
      <c r="AG19" s="108"/>
      <c r="AH19" s="166">
        <v>297524252204.77997</v>
      </c>
      <c r="AI19" s="108"/>
      <c r="AJ19" s="166">
        <v>292280230427.79004</v>
      </c>
      <c r="AK19" s="108"/>
      <c r="AM19" s="166">
        <v>295523324263.78986</v>
      </c>
      <c r="AN19" s="108"/>
      <c r="AO19" s="166">
        <v>319492469047.81995</v>
      </c>
      <c r="AP19" s="108"/>
      <c r="AQ19" s="166">
        <v>308172341613.13995</v>
      </c>
      <c r="AR19" s="108"/>
      <c r="AS19" s="166">
        <v>295519979637.00006</v>
      </c>
    </row>
    <row r="20" spans="1:45" ht="15" customHeight="1" x14ac:dyDescent="0.2">
      <c r="A20" s="331" t="s">
        <v>292</v>
      </c>
      <c r="B20" s="51"/>
      <c r="C20" s="90" t="s">
        <v>295</v>
      </c>
      <c r="D20" s="86"/>
      <c r="E20" s="166">
        <v>59841953482.980087</v>
      </c>
      <c r="F20" s="166">
        <v>0</v>
      </c>
      <c r="G20" s="167" t="str">
        <f t="shared" si="22"/>
        <v>NM</v>
      </c>
      <c r="H20" s="166">
        <v>57651667751.002541</v>
      </c>
      <c r="I20" s="167">
        <f t="shared" si="22"/>
        <v>3.7991715026135742E-2</v>
      </c>
      <c r="K20" s="166" t="s">
        <v>331</v>
      </c>
      <c r="L20" s="167" t="str">
        <f t="shared" ref="L20" si="24">IF(ISERROR($E20*K20),"NM",IF($E20*K20&gt;0,IF($E20/K20&gt;2,"NM",$E20/K20-1),"NM"))</f>
        <v>NM</v>
      </c>
      <c r="N20" s="166">
        <v>59841953482.980087</v>
      </c>
      <c r="O20" s="108"/>
      <c r="P20" s="166">
        <v>57651667751.002541</v>
      </c>
      <c r="Q20" s="108"/>
      <c r="R20" s="166">
        <v>0</v>
      </c>
      <c r="S20" s="108"/>
      <c r="U20" s="166">
        <v>0</v>
      </c>
      <c r="V20" s="108"/>
      <c r="W20" s="166">
        <v>0</v>
      </c>
      <c r="X20" s="108"/>
      <c r="Y20" s="166">
        <v>0</v>
      </c>
      <c r="Z20" s="108"/>
      <c r="AA20" s="166">
        <v>0</v>
      </c>
      <c r="AB20" s="108"/>
      <c r="AD20" s="166">
        <v>0</v>
      </c>
      <c r="AE20" s="108"/>
      <c r="AF20" s="166">
        <v>0</v>
      </c>
      <c r="AG20" s="108"/>
      <c r="AH20" s="166">
        <v>0</v>
      </c>
      <c r="AI20" s="108"/>
      <c r="AJ20" s="166">
        <v>0</v>
      </c>
      <c r="AK20" s="108"/>
      <c r="AM20" s="166">
        <v>0</v>
      </c>
      <c r="AN20" s="108"/>
      <c r="AO20" s="166">
        <v>0</v>
      </c>
      <c r="AP20" s="108"/>
      <c r="AQ20" s="166">
        <v>0</v>
      </c>
      <c r="AR20" s="108"/>
      <c r="AS20" s="166">
        <v>0</v>
      </c>
    </row>
    <row r="21" spans="1:45" ht="18" customHeight="1" x14ac:dyDescent="0.2">
      <c r="A21" s="174" t="s">
        <v>184</v>
      </c>
      <c r="B21" s="51"/>
      <c r="C21" s="200" t="s">
        <v>130</v>
      </c>
      <c r="D21" s="86"/>
      <c r="E21" s="168">
        <v>2317428172448.8022</v>
      </c>
      <c r="F21" s="168">
        <v>2191545233420.9641</v>
      </c>
      <c r="G21" s="169">
        <f t="shared" si="22"/>
        <v>5.7440265027675075E-2</v>
      </c>
      <c r="H21" s="168">
        <v>2267138814780.7813</v>
      </c>
      <c r="I21" s="169">
        <f t="shared" si="22"/>
        <v>2.2181860828351496E-2</v>
      </c>
      <c r="K21" s="168">
        <v>2240066368457.4971</v>
      </c>
      <c r="L21" s="169">
        <f t="shared" si="23"/>
        <v>3.4535496394500154E-2</v>
      </c>
      <c r="N21" s="168">
        <v>2317428172448.8022</v>
      </c>
      <c r="O21" s="159"/>
      <c r="P21" s="168">
        <v>2267138814780.7813</v>
      </c>
      <c r="Q21" s="159"/>
      <c r="R21" s="168">
        <v>2247186966502.1191</v>
      </c>
      <c r="S21" s="159"/>
      <c r="U21" s="168">
        <v>2240066368457.4971</v>
      </c>
      <c r="V21" s="159"/>
      <c r="W21" s="168">
        <v>2191545233420.9641</v>
      </c>
      <c r="X21" s="159"/>
      <c r="Y21" s="168">
        <v>2156097690773.9517</v>
      </c>
      <c r="Z21" s="159"/>
      <c r="AA21" s="168">
        <v>2116145027349.6692</v>
      </c>
      <c r="AB21" s="159"/>
      <c r="AD21" s="168">
        <v>2036588033569.6831</v>
      </c>
      <c r="AE21" s="159"/>
      <c r="AF21" s="168">
        <v>1973304393335.4277</v>
      </c>
      <c r="AG21" s="159"/>
      <c r="AH21" s="168">
        <v>1961316901453.4663</v>
      </c>
      <c r="AI21" s="159"/>
      <c r="AJ21" s="168">
        <v>1933861582230.0693</v>
      </c>
      <c r="AK21" s="159"/>
      <c r="AM21" s="168">
        <v>1903994643285.9492</v>
      </c>
      <c r="AN21" s="159"/>
      <c r="AO21" s="168">
        <v>1895264458528.8057</v>
      </c>
      <c r="AP21" s="159"/>
      <c r="AQ21" s="168">
        <v>1924530608002.0471</v>
      </c>
      <c r="AR21" s="159"/>
      <c r="AS21" s="168">
        <v>2020460908877.304</v>
      </c>
    </row>
    <row r="22" spans="1:45" ht="12" hidden="1" outlineLevel="1" x14ac:dyDescent="0.2">
      <c r="A22" s="2"/>
      <c r="B22" s="2"/>
      <c r="C22" s="63"/>
      <c r="D22" s="74"/>
      <c r="E22" s="272">
        <f>ROUND(E21-SUM(E9,E14,E19,E20)+E9-(E10+E11+E13)+E14-(E15+E16+E17+E18),3)</f>
        <v>0</v>
      </c>
      <c r="F22" s="272">
        <f>ROUND(F21-SUM(F9,F14,F19)+F9-(F10+F11+F13)+F14-(F15+F16+F17+F18),3)</f>
        <v>0</v>
      </c>
      <c r="H22" s="272">
        <f>ROUND(H21-SUM(H9,H14,H19,H20)+H9-(H10+H11+H13)+H14-(H15+H16+H17+H18),3)</f>
        <v>0</v>
      </c>
      <c r="K22" s="272">
        <f>ROUND(K21-SUM(K9,K14,K19)+K9-(K10+K11+K13)+K14-(K15+K16+K17+K18),3)</f>
        <v>0</v>
      </c>
      <c r="N22" s="272">
        <f>ROUND(N21-SUM(N9,N14,N19,N20)+N9-(N10+N11+N13)+N14-(N15+N16+N17+N18),3)</f>
        <v>0</v>
      </c>
      <c r="P22" s="272">
        <f>ROUND(P21-SUM(P9,P14,P19,P20)+P9-(P10+P11+P13)+P14-(P15+P16+P17+P18),3)</f>
        <v>0</v>
      </c>
      <c r="R22" s="272">
        <f>ROUND(R21-SUM(R9,R14,R19)+R9-(R10+R11+R13)+R14-(R15+R16+R17+R18),3)</f>
        <v>0</v>
      </c>
      <c r="U22" s="272">
        <f>ROUND(U21-SUM(U9,U14,U19)+U9-(U10+U11+U13)+U14-(U15+U16+U17+U18),3)</f>
        <v>0</v>
      </c>
      <c r="V22" s="156"/>
      <c r="W22" s="272">
        <f>ROUND(W21-SUM(W9,W14,W19)+W9-(W10+W11+W13)+W14-(W15+W16+W17+W18),3)</f>
        <v>0</v>
      </c>
      <c r="X22" s="156"/>
      <c r="Y22" s="272">
        <f>ROUND(Y21-SUM(Y9,Y14,Y19)+Y9-(Y10+Y11+Y13)+Y14-(Y15+Y16+Y17+Y18),3)</f>
        <v>0</v>
      </c>
      <c r="AA22" s="272">
        <f>ROUND(AA21-SUM(AA9,AA14,AA19)+AA9-(AA10+AA11+AA13)+AA14-(AA15+AA16+AA17+AA18),3)</f>
        <v>0</v>
      </c>
      <c r="AD22" s="309">
        <f>ROUND(AD21-SUM(AD9,AD14,AD19)+AD9-(AD10+AD11+AD13)+AD14-(AD15+AD16+AD17+AD18),3)</f>
        <v>0</v>
      </c>
      <c r="AE22" s="309"/>
      <c r="AF22" s="309">
        <f>ROUND(AF21-SUM(AF9,AF14,AF19)+AF9-(AF10+AF11+AF13)+AF14-(AF15+AF16+AF17+AF18),3)</f>
        <v>0</v>
      </c>
      <c r="AG22" s="309"/>
      <c r="AH22" s="309">
        <f>ROUND(AH21-SUM(AH9,AH14,AH19)+AH9-(AH10+AH11+AH13)+AH14-(AH15+AH16+AH17+AH18),3)</f>
        <v>0</v>
      </c>
      <c r="AJ22" s="309">
        <f>ROUND(AJ21-SUM(AJ9,AJ14,AJ19)+AJ9-(AJ10+AJ11+AJ13)+AJ14-(AJ15+AJ16+AJ17+AJ18),3)</f>
        <v>0</v>
      </c>
      <c r="AM22" s="309">
        <f>ROUND(AM21-SUM(AM9,AM14,AM19)+AM9-(AM10+AM11+AM13)+AM14-(AM15+AM16+AM17+AM18),3)</f>
        <v>0</v>
      </c>
      <c r="AO22" s="309">
        <f>ROUND(AO21-SUM(AO9,AO14,AO19)+AO9-(AO10+AO11+AO13)+AO14-(AO15+AO16+AO17+AO18),3)</f>
        <v>0</v>
      </c>
      <c r="AQ22" s="309">
        <f>ROUND(AQ21-SUM(AQ9,AQ14,AQ19)+AQ9-(AQ10+AQ11+AQ13)+AQ14-(AQ15+AQ16+AQ17+AQ18),3)</f>
        <v>143893039.96000001</v>
      </c>
      <c r="AS22" s="309">
        <f>ROUND(AS21-SUM(AS9,AS14,AS19)+AS9-(AS10+AS11+AS13)+AS14-(AS15+AS16+AS17+AS18),3)</f>
        <v>164220734.00999999</v>
      </c>
    </row>
    <row r="23" spans="1:45" ht="17.399999999999999" collapsed="1" x14ac:dyDescent="0.3">
      <c r="C23" s="179" t="s">
        <v>189</v>
      </c>
      <c r="D23" s="145"/>
      <c r="E23" s="146"/>
      <c r="F23" s="147"/>
      <c r="AD23" s="305"/>
      <c r="AF23" s="305"/>
      <c r="AH23" s="305"/>
      <c r="AJ23" s="305"/>
      <c r="AM23" s="305"/>
      <c r="AO23" s="305"/>
      <c r="AQ23" s="305"/>
      <c r="AS23" s="305"/>
    </row>
    <row r="24" spans="1:45" ht="27.75" customHeight="1" x14ac:dyDescent="0.25">
      <c r="A24" s="171" t="s">
        <v>175</v>
      </c>
      <c r="B24" s="2"/>
      <c r="C24" s="14" t="s">
        <v>127</v>
      </c>
      <c r="D24" s="74"/>
      <c r="E24" s="62" t="str">
        <f>"AuM 
"&amp;TEXT(DAY(E$1),"00")&amp;"."&amp;TEXT(MONTH(E$1),"00")&amp;"."&amp;YEAR(E$1)</f>
        <v>AuM 
30.09.2025</v>
      </c>
      <c r="F24" s="62" t="str">
        <f>"AuM 
"&amp;TEXT(DAY(F$1),"00")&amp;"."&amp;TEXT(MONTH(F$1),"00")&amp;"."&amp;YEAR(F$1)</f>
        <v>AuM 
30.09.2024</v>
      </c>
      <c r="G24" s="62" t="str">
        <f>"%ch. 
/ "&amp;TEXT(DAY(F$1),"00")&amp;"."&amp;TEXT(MONTH(F$1),"00")&amp;"."&amp;YEAR(F$1)</f>
        <v>%ch. 
/ 30.09.2024</v>
      </c>
      <c r="H24" s="62" t="str">
        <f>"AuM 
"&amp;TEXT(DAY(H$1),"00")&amp;"."&amp;TEXT(MONTH(H$1),"00")&amp;"."&amp;YEAR(H$1)</f>
        <v>AuM 
30.06.2025</v>
      </c>
      <c r="I24" s="62" t="str">
        <f>"%ch. 
/ "&amp;TEXT(DAY(H$1),"00")&amp;"."&amp;TEXT(MONTH(H$1),"00")&amp;"."&amp;YEAR(H$1)</f>
        <v>%ch. 
/ 30.06.2025</v>
      </c>
      <c r="K24" s="62" t="str">
        <f>"AuM 
"&amp;TEXT(DAY(K$1),"00")&amp;"."&amp;TEXT(MONTH(K$1),"00")&amp;"."&amp;YEAR(K$1)</f>
        <v>AuM 
31.12.2024</v>
      </c>
      <c r="L24" s="62" t="str">
        <f>"%ch. 
/ "&amp;TEXT(DAY(K$1),"00")&amp;"."&amp;TEXT(MONTH(K$1),"00")&amp;"."&amp;YEAR(K$1)</f>
        <v>%ch. 
/ 31.12.2024</v>
      </c>
      <c r="N24" s="62" t="str">
        <f>"AuM 
"&amp;TEXT(DAY(N$1),"00")&amp;"."&amp;TEXT(MONTH(N$1),"00")&amp;"."&amp;YEAR(N$1)</f>
        <v>AuM 
30.09.2025</v>
      </c>
      <c r="O24" s="108"/>
      <c r="P24" s="62" t="str">
        <f>"AuM 
"&amp;TEXT(DAY(P$1),"00")&amp;"."&amp;TEXT(MONTH(P$1),"00")&amp;"."&amp;YEAR(P$1)</f>
        <v>AuM 
30.06.2025</v>
      </c>
      <c r="Q24" s="108"/>
      <c r="R24" s="62" t="str">
        <f>"AuM 
"&amp;TEXT(DAY(R$1),"00")&amp;"."&amp;TEXT(MONTH(R$1),"00")&amp;"."&amp;YEAR(R$1)</f>
        <v>AuM 
31.03.2025</v>
      </c>
      <c r="S24" s="108"/>
      <c r="U24" s="62" t="str">
        <f>"AuM 
"&amp;TEXT(DAY(U$1),"00")&amp;"."&amp;TEXT(MONTH(U$1),"00")&amp;"."&amp;YEAR(U$1)</f>
        <v>AuM 
31.12.2024</v>
      </c>
      <c r="V24" s="108"/>
      <c r="W24" s="62" t="str">
        <f>"AuM 
"&amp;TEXT(DAY(W$1),"00")&amp;"."&amp;TEXT(MONTH(W$1),"00")&amp;"."&amp;YEAR(W$1)</f>
        <v>AuM 
30.09.2024</v>
      </c>
      <c r="X24" s="108"/>
      <c r="Y24" s="62" t="str">
        <f>"AuM 
"&amp;TEXT(DAY(Y$1),"00")&amp;"."&amp;TEXT(MONTH(Y$1),"00")&amp;"."&amp;YEAR(Y$1)</f>
        <v>AuM 
30.06.2024</v>
      </c>
      <c r="Z24" s="108"/>
      <c r="AA24" s="62" t="str">
        <f>"AuM 
"&amp;TEXT(DAY(AA$1),"00")&amp;"."&amp;TEXT(MONTH(AA$1),"00")&amp;"."&amp;YEAR(AA$1)</f>
        <v>AuM 
31.03.2024</v>
      </c>
      <c r="AB24" s="108"/>
      <c r="AD24" s="62" t="str">
        <f>"AuM 
"&amp;TEXT(DAY(AD$1),"00")&amp;"."&amp;TEXT(MONTH(AD$1),"00")&amp;"."&amp;YEAR(AD$1)</f>
        <v>AuM 
31.12.2023</v>
      </c>
      <c r="AE24" s="108"/>
      <c r="AF24" s="62" t="str">
        <f>"AuM 
"&amp;TEXT(DAY(AF$1),"00")&amp;"."&amp;TEXT(MONTH(AF$1),"00")&amp;"."&amp;YEAR(AF$1)</f>
        <v>AuM 
30.09.2023</v>
      </c>
      <c r="AG24" s="108"/>
      <c r="AH24" s="62" t="str">
        <f>"AuM 
"&amp;TEXT(DAY(AH$1),"00")&amp;"."&amp;TEXT(MONTH(AH$1),"00")&amp;"."&amp;YEAR(AH$1)</f>
        <v>AuM 
30.06.2023</v>
      </c>
      <c r="AI24" s="108"/>
      <c r="AJ24" s="62" t="str">
        <f>"AuM 
"&amp;TEXT(DAY(AJ$1),"00")&amp;"."&amp;TEXT(MONTH(AJ$1),"00")&amp;"."&amp;YEAR(AJ$1)</f>
        <v>AuM 
31.03.2023</v>
      </c>
      <c r="AK24" s="108"/>
      <c r="AM24" s="62" t="str">
        <f>"AuM 
"&amp;TEXT(DAY(AM$1),"00")&amp;"."&amp;TEXT(MONTH(AM$1),"00")&amp;"."&amp;YEAR(AM$1)</f>
        <v>AuM 
31.12.2022</v>
      </c>
      <c r="AN24" s="108"/>
      <c r="AO24" s="62" t="str">
        <f>"AuM 
"&amp;TEXT(DAY(AO$1),"00")&amp;"."&amp;TEXT(MONTH(AO$1),"00")&amp;"."&amp;YEAR(AO$1)</f>
        <v>AuM 
30.09.2022</v>
      </c>
      <c r="AP24" s="108"/>
      <c r="AQ24" s="62" t="str">
        <f>"AuM 
"&amp;TEXT(DAY(AQ$1),"00")&amp;"."&amp;TEXT(MONTH(AQ$1),"00")&amp;"."&amp;YEAR(AQ$1)</f>
        <v>AuM 
30.06.2022</v>
      </c>
      <c r="AR24" s="108"/>
      <c r="AS24" s="62" t="str">
        <f>"AuM 
"&amp;TEXT(DAY(AS$1),"00")&amp;"."&amp;TEXT(MONTH(AS$1),"00")&amp;"."&amp;YEAR(AS$1)</f>
        <v>AuM 
31.03.2022</v>
      </c>
    </row>
    <row r="25" spans="1:45" ht="15" customHeight="1" x14ac:dyDescent="0.25">
      <c r="A25" s="64" t="s">
        <v>190</v>
      </c>
      <c r="B25" s="51"/>
      <c r="C25" s="90" t="s">
        <v>128</v>
      </c>
      <c r="D25" s="75"/>
      <c r="E25" s="163">
        <v>615161903563.5542</v>
      </c>
      <c r="F25" s="163">
        <v>625224223264.00049</v>
      </c>
      <c r="G25" s="164">
        <f t="shared" ref="G25:G37" si="25">IF(ISERROR($E25*F25),"NM",IF($E25*F25&gt;0,IF($E25/F25&gt;2,"NM",$E25/F25-1),"NM"))</f>
        <v>-1.6093937704325767E-2</v>
      </c>
      <c r="H25" s="163">
        <v>586829766230.30005</v>
      </c>
      <c r="I25" s="164">
        <f t="shared" ref="I25:I37" si="26">IF(ISERROR($E25*H25),"NM",IF($E25*H25&gt;0,IF($E25/H25&gt;2,"NM",$E25/H25-1),"NM"))</f>
        <v>4.8279993558021594E-2</v>
      </c>
      <c r="K25" s="163">
        <v>645179999891.64014</v>
      </c>
      <c r="L25" s="164">
        <f t="shared" ref="L25:L37" si="27">IF(ISERROR($E25*K25),"NM",IF($E25*K25&gt;0,IF($E25/K25&gt;2,"NM",$E25/K25-1),"NM"))</f>
        <v>-4.6526700042046509E-2</v>
      </c>
      <c r="N25" s="163">
        <v>615161903563.5542</v>
      </c>
      <c r="O25" s="108"/>
      <c r="P25" s="163">
        <v>586829766230.30005</v>
      </c>
      <c r="Q25" s="108"/>
      <c r="R25" s="163">
        <v>637082174077.4696</v>
      </c>
      <c r="S25" s="108"/>
      <c r="U25" s="163">
        <v>645179999891.64014</v>
      </c>
      <c r="V25" s="108"/>
      <c r="W25" s="163">
        <v>625224223264.00049</v>
      </c>
      <c r="X25" s="108"/>
      <c r="Y25" s="163">
        <v>607135395386.7395</v>
      </c>
      <c r="Z25" s="108"/>
      <c r="AA25" s="163">
        <v>597242726943.53979</v>
      </c>
      <c r="AB25" s="108"/>
      <c r="AD25" s="163">
        <v>559640638160.2561</v>
      </c>
      <c r="AE25" s="108"/>
      <c r="AF25" s="163">
        <v>540348157737.8064</v>
      </c>
      <c r="AG25" s="108"/>
      <c r="AH25" s="163">
        <v>546610935864.73987</v>
      </c>
      <c r="AI25" s="108"/>
      <c r="AJ25" s="163">
        <v>536327521322.12006</v>
      </c>
      <c r="AK25" s="108"/>
      <c r="AM25" s="163">
        <v>518076407048.13977</v>
      </c>
      <c r="AN25" s="108"/>
      <c r="AO25" s="163">
        <v>521483302721.98865</v>
      </c>
      <c r="AP25" s="108"/>
      <c r="AQ25" s="163">
        <v>532442197945.59827</v>
      </c>
      <c r="AR25" s="108"/>
      <c r="AS25" s="163">
        <v>575323545497.14355</v>
      </c>
    </row>
    <row r="26" spans="1:45" ht="15" customHeight="1" x14ac:dyDescent="0.2">
      <c r="A26" s="51" t="s">
        <v>191</v>
      </c>
      <c r="B26" s="51"/>
      <c r="C26" s="86" t="s">
        <v>125</v>
      </c>
      <c r="D26" s="86"/>
      <c r="E26" s="165">
        <v>116736884773.18378</v>
      </c>
      <c r="F26" s="165">
        <v>113771580302.18007</v>
      </c>
      <c r="G26" s="177">
        <f t="shared" si="25"/>
        <v>2.606366601507859E-2</v>
      </c>
      <c r="H26" s="165">
        <v>113237380117.86993</v>
      </c>
      <c r="I26" s="177">
        <f t="shared" si="26"/>
        <v>3.0904147125897508E-2</v>
      </c>
      <c r="K26" s="165">
        <v>113588100878.47</v>
      </c>
      <c r="L26" s="177">
        <f t="shared" si="27"/>
        <v>2.7721071752777382E-2</v>
      </c>
      <c r="N26" s="165">
        <v>116736884773.18378</v>
      </c>
      <c r="O26" s="158"/>
      <c r="P26" s="165">
        <v>113237380117.86993</v>
      </c>
      <c r="Q26" s="158"/>
      <c r="R26" s="165">
        <v>113087954900</v>
      </c>
      <c r="S26" s="158"/>
      <c r="U26" s="165">
        <v>113588100878.47</v>
      </c>
      <c r="V26" s="158"/>
      <c r="W26" s="165">
        <v>113771580302.18007</v>
      </c>
      <c r="X26" s="158"/>
      <c r="Y26" s="165">
        <v>112222533129.85995</v>
      </c>
      <c r="Z26" s="158"/>
      <c r="AA26" s="165">
        <v>114538251871.76003</v>
      </c>
      <c r="AB26" s="158"/>
      <c r="AD26" s="165">
        <v>110669604197.39619</v>
      </c>
      <c r="AE26" s="158"/>
      <c r="AF26" s="165">
        <v>107051157059.1662</v>
      </c>
      <c r="AG26" s="158"/>
      <c r="AH26" s="165">
        <v>108488543942.07999</v>
      </c>
      <c r="AI26" s="158"/>
      <c r="AJ26" s="165">
        <v>105878823972.83005</v>
      </c>
      <c r="AK26" s="158"/>
      <c r="AM26" s="165">
        <v>101910814027.90988</v>
      </c>
      <c r="AN26" s="158"/>
      <c r="AO26" s="165">
        <v>98062700287.558319</v>
      </c>
      <c r="AP26" s="158"/>
      <c r="AQ26" s="165">
        <v>100027101486.7984</v>
      </c>
      <c r="AR26" s="158"/>
      <c r="AS26" s="165">
        <v>106292615448.94249</v>
      </c>
    </row>
    <row r="27" spans="1:45" ht="12" x14ac:dyDescent="0.25">
      <c r="A27" s="51" t="s">
        <v>243</v>
      </c>
      <c r="B27" s="51"/>
      <c r="C27" s="86" t="s">
        <v>126</v>
      </c>
      <c r="D27" s="87"/>
      <c r="E27" s="165">
        <v>156299765253.46005</v>
      </c>
      <c r="F27" s="165">
        <v>162593434049.85019</v>
      </c>
      <c r="G27" s="177">
        <f t="shared" si="25"/>
        <v>-3.8708013230476013E-2</v>
      </c>
      <c r="H27" s="165">
        <v>155443658782.75992</v>
      </c>
      <c r="I27" s="177">
        <f t="shared" si="26"/>
        <v>5.5075033449680788E-3</v>
      </c>
      <c r="K27" s="165">
        <v>161931598372.00998</v>
      </c>
      <c r="L27" s="177">
        <f t="shared" si="27"/>
        <v>-3.4779086819187399E-2</v>
      </c>
      <c r="N27" s="165">
        <v>156299765253.46005</v>
      </c>
      <c r="O27" s="158"/>
      <c r="P27" s="165">
        <v>155443658782.75992</v>
      </c>
      <c r="Q27" s="158"/>
      <c r="R27" s="165">
        <v>157218352875.28</v>
      </c>
      <c r="S27" s="158"/>
      <c r="U27" s="165">
        <v>161931598372.00998</v>
      </c>
      <c r="V27" s="158"/>
      <c r="W27" s="165">
        <v>162593434049.85019</v>
      </c>
      <c r="X27" s="158"/>
      <c r="Y27" s="165">
        <v>161202936901.42007</v>
      </c>
      <c r="Z27" s="158"/>
      <c r="AA27" s="165">
        <v>161636110938.15009</v>
      </c>
      <c r="AB27" s="158"/>
      <c r="AD27" s="165">
        <v>157146481446.61984</v>
      </c>
      <c r="AE27" s="158"/>
      <c r="AF27" s="165">
        <v>152714903395.75009</v>
      </c>
      <c r="AG27" s="158"/>
      <c r="AH27" s="165">
        <v>155661807700.35989</v>
      </c>
      <c r="AI27" s="158"/>
      <c r="AJ27" s="165">
        <v>155075181884.18997</v>
      </c>
      <c r="AK27" s="158"/>
      <c r="AM27" s="165">
        <v>153927766612.09012</v>
      </c>
      <c r="AN27" s="158"/>
      <c r="AO27" s="165">
        <v>153684708702.24005</v>
      </c>
      <c r="AP27" s="158"/>
      <c r="AQ27" s="165">
        <v>157296797031.98975</v>
      </c>
      <c r="AR27" s="158"/>
      <c r="AS27" s="165">
        <v>170012334371.34998</v>
      </c>
    </row>
    <row r="28" spans="1:45" x14ac:dyDescent="0.2">
      <c r="A28" s="65" t="s">
        <v>192</v>
      </c>
      <c r="B28" s="51"/>
      <c r="C28" s="98" t="s">
        <v>131</v>
      </c>
      <c r="D28" s="88"/>
      <c r="E28" s="170">
        <v>3458445785.9499998</v>
      </c>
      <c r="F28" s="170">
        <v>2615545767.3699999</v>
      </c>
      <c r="G28" s="178">
        <f t="shared" si="25"/>
        <v>0.32226544421264625</v>
      </c>
      <c r="H28" s="170">
        <v>2813782906.8299999</v>
      </c>
      <c r="I28" s="178">
        <f t="shared" si="26"/>
        <v>0.22910896130443681</v>
      </c>
      <c r="K28" s="170">
        <v>2082543793.0799999</v>
      </c>
      <c r="L28" s="178">
        <f t="shared" si="27"/>
        <v>0.6606833419023066</v>
      </c>
      <c r="N28" s="170">
        <v>3458445785.9499998</v>
      </c>
      <c r="O28" s="295"/>
      <c r="P28" s="170">
        <v>2813782906.8299999</v>
      </c>
      <c r="Q28" s="160"/>
      <c r="R28" s="170">
        <v>2298702234.1100001</v>
      </c>
      <c r="S28" s="160"/>
      <c r="U28" s="170">
        <v>2082543793.0799999</v>
      </c>
      <c r="V28" s="160"/>
      <c r="W28" s="170">
        <v>2615545767.3699999</v>
      </c>
      <c r="X28" s="160"/>
      <c r="Y28" s="170">
        <v>3309642153.2600002</v>
      </c>
      <c r="Z28" s="160"/>
      <c r="AA28" s="170">
        <v>2917071462.9200001</v>
      </c>
      <c r="AB28" s="160"/>
      <c r="AD28" s="170">
        <v>3095840334.3699999</v>
      </c>
      <c r="AE28" s="160"/>
      <c r="AF28" s="170">
        <v>3576980655.25</v>
      </c>
      <c r="AG28" s="160"/>
      <c r="AH28" s="170">
        <v>3933764331.3699999</v>
      </c>
      <c r="AI28" s="160"/>
      <c r="AJ28" s="170">
        <v>4143687494.4200001</v>
      </c>
      <c r="AK28" s="160"/>
      <c r="AM28" s="170">
        <v>6869550992.9300003</v>
      </c>
      <c r="AN28" s="160"/>
      <c r="AO28" s="170">
        <v>9885447230.2200089</v>
      </c>
      <c r="AP28" s="160"/>
      <c r="AQ28" s="170">
        <v>11558386238.140001</v>
      </c>
      <c r="AR28" s="160"/>
      <c r="AS28" s="170">
        <v>13259267327.93</v>
      </c>
    </row>
    <row r="29" spans="1:45" x14ac:dyDescent="0.2">
      <c r="A29" s="51" t="s">
        <v>193</v>
      </c>
      <c r="B29" s="51"/>
      <c r="C29" s="86" t="s">
        <v>132</v>
      </c>
      <c r="D29" s="86"/>
      <c r="E29" s="165">
        <v>342125253536.9104</v>
      </c>
      <c r="F29" s="165">
        <v>348859208911.97028</v>
      </c>
      <c r="G29" s="177">
        <f t="shared" si="25"/>
        <v>-1.9302788067604326E-2</v>
      </c>
      <c r="H29" s="165">
        <v>318148727329.67023</v>
      </c>
      <c r="I29" s="177">
        <f t="shared" si="26"/>
        <v>7.5362634351811675E-2</v>
      </c>
      <c r="K29" s="165">
        <v>369660300641.16016</v>
      </c>
      <c r="L29" s="177">
        <f t="shared" si="27"/>
        <v>-7.4487433615379794E-2</v>
      </c>
      <c r="N29" s="165">
        <v>342125253536.9104</v>
      </c>
      <c r="O29" s="158"/>
      <c r="P29" s="165">
        <v>318148727329.67023</v>
      </c>
      <c r="Q29" s="158"/>
      <c r="R29" s="165">
        <v>366775866302.18958</v>
      </c>
      <c r="S29" s="158"/>
      <c r="U29" s="165">
        <v>369660300641.16016</v>
      </c>
      <c r="V29" s="158"/>
      <c r="W29" s="165">
        <v>348859208911.97028</v>
      </c>
      <c r="X29" s="158"/>
      <c r="Y29" s="165">
        <v>333709925355.45953</v>
      </c>
      <c r="Z29" s="158"/>
      <c r="AA29" s="165">
        <v>321068364133.6297</v>
      </c>
      <c r="AB29" s="158"/>
      <c r="AD29" s="165">
        <v>291824552516.24011</v>
      </c>
      <c r="AE29" s="158"/>
      <c r="AF29" s="165">
        <v>280582097282.89008</v>
      </c>
      <c r="AG29" s="158"/>
      <c r="AH29" s="165">
        <v>282460584222.29999</v>
      </c>
      <c r="AI29" s="158"/>
      <c r="AJ29" s="165">
        <v>275373515465.10004</v>
      </c>
      <c r="AK29" s="158"/>
      <c r="AM29" s="165">
        <v>262237826408.1398</v>
      </c>
      <c r="AN29" s="158"/>
      <c r="AO29" s="165">
        <v>269735893732.19025</v>
      </c>
      <c r="AP29" s="158"/>
      <c r="AQ29" s="165">
        <v>275118299426.81012</v>
      </c>
      <c r="AR29" s="158"/>
      <c r="AS29" s="165">
        <v>299018595676.85101</v>
      </c>
    </row>
    <row r="30" spans="1:45" ht="15" customHeight="1" x14ac:dyDescent="0.2">
      <c r="A30" s="173" t="s">
        <v>194</v>
      </c>
      <c r="B30" s="51"/>
      <c r="C30" s="90" t="s">
        <v>129</v>
      </c>
      <c r="D30" s="74"/>
      <c r="E30" s="163">
        <v>1105455838385.2185</v>
      </c>
      <c r="F30" s="163">
        <v>1021544208552.8835</v>
      </c>
      <c r="G30" s="164">
        <f t="shared" si="25"/>
        <v>8.2141946603763616E-2</v>
      </c>
      <c r="H30" s="163">
        <v>1084309322545.0383</v>
      </c>
      <c r="I30" s="164">
        <f t="shared" si="26"/>
        <v>1.9502290905833108E-2</v>
      </c>
      <c r="K30" s="163">
        <v>1034951596227.3369</v>
      </c>
      <c r="L30" s="164">
        <f t="shared" si="27"/>
        <v>6.8123226646432222E-2</v>
      </c>
      <c r="N30" s="163">
        <v>1105455838385.2185</v>
      </c>
      <c r="O30" s="108"/>
      <c r="P30" s="163">
        <v>1084309322545.0383</v>
      </c>
      <c r="Q30" s="108"/>
      <c r="R30" s="163">
        <v>1067809124685.4397</v>
      </c>
      <c r="S30" s="108"/>
      <c r="U30" s="163">
        <v>1034951596227.3369</v>
      </c>
      <c r="V30" s="108"/>
      <c r="W30" s="163">
        <v>1021544208552.8835</v>
      </c>
      <c r="X30" s="108"/>
      <c r="Y30" s="163">
        <v>1008887748412.3813</v>
      </c>
      <c r="Z30" s="108"/>
      <c r="AA30" s="163">
        <v>993642388905.44958</v>
      </c>
      <c r="AB30" s="108"/>
      <c r="AD30" s="163">
        <v>949938862882.65674</v>
      </c>
      <c r="AE30" s="108"/>
      <c r="AF30" s="163">
        <v>924889316088.69165</v>
      </c>
      <c r="AG30" s="108"/>
      <c r="AH30" s="163">
        <v>924704986121.7561</v>
      </c>
      <c r="AI30" s="108"/>
      <c r="AJ30" s="163">
        <v>916734799765.79907</v>
      </c>
      <c r="AK30" s="108"/>
      <c r="AM30" s="163">
        <v>904959434855.54834</v>
      </c>
      <c r="AN30" s="108"/>
      <c r="AO30" s="163">
        <v>889548206635.26782</v>
      </c>
      <c r="AP30" s="108"/>
      <c r="AQ30" s="163">
        <v>911074998848.86865</v>
      </c>
      <c r="AR30" s="108"/>
      <c r="AS30" s="163">
        <v>975443278824.88013</v>
      </c>
    </row>
    <row r="31" spans="1:45" ht="15" customHeight="1" x14ac:dyDescent="0.2">
      <c r="A31" s="66" t="s">
        <v>195</v>
      </c>
      <c r="B31" s="51"/>
      <c r="C31" s="86" t="s">
        <v>122</v>
      </c>
      <c r="D31" s="86"/>
      <c r="E31" s="165">
        <v>509001801664.2016</v>
      </c>
      <c r="F31" s="165">
        <v>465148431461.20703</v>
      </c>
      <c r="G31" s="177">
        <f t="shared" si="25"/>
        <v>9.4278228704834266E-2</v>
      </c>
      <c r="H31" s="165">
        <v>499348532903.9939</v>
      </c>
      <c r="I31" s="177">
        <f t="shared" si="26"/>
        <v>1.9331725486542384E-2</v>
      </c>
      <c r="K31" s="165">
        <v>475055780502.29974</v>
      </c>
      <c r="L31" s="177">
        <f t="shared" si="27"/>
        <v>7.1456916335191245E-2</v>
      </c>
      <c r="N31" s="165">
        <v>509001801664.2016</v>
      </c>
      <c r="O31" s="158"/>
      <c r="P31" s="165">
        <v>499348532903.9939</v>
      </c>
      <c r="Q31" s="158"/>
      <c r="R31" s="165">
        <v>500479440791.94336</v>
      </c>
      <c r="S31" s="158"/>
      <c r="U31" s="165">
        <v>475055780502.29974</v>
      </c>
      <c r="V31" s="158"/>
      <c r="W31" s="165">
        <v>465148431461.20703</v>
      </c>
      <c r="X31" s="158"/>
      <c r="Y31" s="165">
        <v>464827656652.9646</v>
      </c>
      <c r="Z31" s="158"/>
      <c r="AA31" s="165">
        <v>451632457978.63373</v>
      </c>
      <c r="AB31" s="158"/>
      <c r="AD31" s="165">
        <v>418418054382.96954</v>
      </c>
      <c r="AE31" s="158"/>
      <c r="AF31" s="165">
        <v>416406906571.58698</v>
      </c>
      <c r="AG31" s="158"/>
      <c r="AH31" s="165">
        <v>405568402277.19592</v>
      </c>
      <c r="AI31" s="158"/>
      <c r="AJ31" s="165">
        <v>401853714940.90906</v>
      </c>
      <c r="AK31" s="158"/>
      <c r="AM31" s="165">
        <v>392244882588.81824</v>
      </c>
      <c r="AN31" s="158"/>
      <c r="AO31" s="165">
        <v>377078288521.68811</v>
      </c>
      <c r="AP31" s="158"/>
      <c r="AQ31" s="165">
        <v>382851442653.36469</v>
      </c>
      <c r="AR31" s="158"/>
      <c r="AS31" s="165">
        <v>413363817272.40839</v>
      </c>
    </row>
    <row r="32" spans="1:45" x14ac:dyDescent="0.2">
      <c r="A32" s="66" t="s">
        <v>196</v>
      </c>
      <c r="B32" s="51"/>
      <c r="C32" s="86" t="s">
        <v>123</v>
      </c>
      <c r="D32" s="86"/>
      <c r="E32" s="165">
        <v>67023133627.970009</v>
      </c>
      <c r="F32" s="165">
        <v>61961178880.310028</v>
      </c>
      <c r="G32" s="177">
        <f t="shared" si="25"/>
        <v>8.1695584866745774E-2</v>
      </c>
      <c r="H32" s="165">
        <v>60986029933.55999</v>
      </c>
      <c r="I32" s="177">
        <f t="shared" si="26"/>
        <v>9.8991583826443907E-2</v>
      </c>
      <c r="K32" s="165">
        <v>61648329177.789978</v>
      </c>
      <c r="L32" s="177">
        <f t="shared" si="27"/>
        <v>8.7184916799276424E-2</v>
      </c>
      <c r="N32" s="165">
        <v>67023133627.970009</v>
      </c>
      <c r="O32" s="158"/>
      <c r="P32" s="165">
        <v>60986029933.55999</v>
      </c>
      <c r="Q32" s="158"/>
      <c r="R32" s="165">
        <v>61586064417.860039</v>
      </c>
      <c r="S32" s="158"/>
      <c r="U32" s="165">
        <v>61648329177.789978</v>
      </c>
      <c r="V32" s="158"/>
      <c r="W32" s="165">
        <v>61961178880.310028</v>
      </c>
      <c r="X32" s="158"/>
      <c r="Y32" s="165">
        <v>58999653271.470024</v>
      </c>
      <c r="Z32" s="158"/>
      <c r="AA32" s="165">
        <v>55845017640.959984</v>
      </c>
      <c r="AB32" s="158"/>
      <c r="AD32" s="165">
        <v>53653110285.610016</v>
      </c>
      <c r="AE32" s="158"/>
      <c r="AF32" s="165">
        <v>50703288782.529999</v>
      </c>
      <c r="AG32" s="158"/>
      <c r="AH32" s="165">
        <v>52437232934.550003</v>
      </c>
      <c r="AI32" s="158"/>
      <c r="AJ32" s="165">
        <v>50870456978.879959</v>
      </c>
      <c r="AK32" s="158"/>
      <c r="AM32" s="165">
        <v>50138099950.68998</v>
      </c>
      <c r="AN32" s="158"/>
      <c r="AO32" s="165">
        <v>50059096667.540016</v>
      </c>
      <c r="AP32" s="158"/>
      <c r="AQ32" s="165">
        <v>48013438087.010033</v>
      </c>
      <c r="AR32" s="158"/>
      <c r="AS32" s="165">
        <v>51708758664.509933</v>
      </c>
    </row>
    <row r="33" spans="1:45" x14ac:dyDescent="0.2">
      <c r="A33" s="66" t="s">
        <v>197</v>
      </c>
      <c r="B33" s="51"/>
      <c r="C33" s="86" t="s">
        <v>236</v>
      </c>
      <c r="D33" s="86"/>
      <c r="E33" s="165">
        <v>92013292765.927017</v>
      </c>
      <c r="F33" s="165">
        <v>84211751992.576416</v>
      </c>
      <c r="G33" s="177">
        <f t="shared" si="25"/>
        <v>9.2641948288147979E-2</v>
      </c>
      <c r="H33" s="165">
        <v>91719697146.054413</v>
      </c>
      <c r="I33" s="177">
        <f t="shared" si="26"/>
        <v>3.2010094778778253E-3</v>
      </c>
      <c r="K33" s="165">
        <v>81498406851.737213</v>
      </c>
      <c r="L33" s="177">
        <f t="shared" si="27"/>
        <v>0.12901952713405307</v>
      </c>
      <c r="N33" s="165">
        <v>92013292765.927017</v>
      </c>
      <c r="O33" s="158"/>
      <c r="P33" s="165">
        <v>91719697146.054413</v>
      </c>
      <c r="Q33" s="158"/>
      <c r="R33" s="165">
        <v>86618778356.116272</v>
      </c>
      <c r="S33" s="158"/>
      <c r="U33" s="165">
        <v>81498406851.737213</v>
      </c>
      <c r="V33" s="158"/>
      <c r="W33" s="165">
        <v>84211751992.576416</v>
      </c>
      <c r="X33" s="158"/>
      <c r="Y33" s="165">
        <v>81990744750.946838</v>
      </c>
      <c r="Z33" s="158"/>
      <c r="AA33" s="165">
        <v>82358452580.505859</v>
      </c>
      <c r="AB33" s="158"/>
      <c r="AD33" s="165">
        <v>72916742488.477127</v>
      </c>
      <c r="AE33" s="158"/>
      <c r="AF33" s="165">
        <v>70346385627.114594</v>
      </c>
      <c r="AG33" s="158"/>
      <c r="AH33" s="165">
        <v>70360426668.820374</v>
      </c>
      <c r="AI33" s="158"/>
      <c r="AJ33" s="165">
        <v>66389899595.830109</v>
      </c>
      <c r="AK33" s="158"/>
      <c r="AM33" s="165">
        <v>63817049426.890472</v>
      </c>
      <c r="AN33" s="158"/>
      <c r="AO33" s="165">
        <v>59101615062.569069</v>
      </c>
      <c r="AP33" s="158"/>
      <c r="AQ33" s="165">
        <v>62120213761.583946</v>
      </c>
      <c r="AR33" s="158"/>
      <c r="AS33" s="165">
        <v>63065190481.141724</v>
      </c>
    </row>
    <row r="34" spans="1:45" x14ac:dyDescent="0.2">
      <c r="A34" s="66" t="s">
        <v>198</v>
      </c>
      <c r="B34" s="51"/>
      <c r="C34" s="86" t="s">
        <v>237</v>
      </c>
      <c r="D34" s="86"/>
      <c r="E34" s="165">
        <v>437417610327.11993</v>
      </c>
      <c r="F34" s="165">
        <v>410222846218.7901</v>
      </c>
      <c r="G34" s="177">
        <f t="shared" si="25"/>
        <v>6.6292661071893688E-2</v>
      </c>
      <c r="H34" s="165">
        <v>432255062561.42999</v>
      </c>
      <c r="I34" s="177">
        <f t="shared" si="26"/>
        <v>1.1943290461650102E-2</v>
      </c>
      <c r="K34" s="165">
        <v>416749079695.50995</v>
      </c>
      <c r="L34" s="177">
        <f t="shared" si="27"/>
        <v>4.9594664124300136E-2</v>
      </c>
      <c r="N34" s="165">
        <v>437417610327.11993</v>
      </c>
      <c r="O34" s="158"/>
      <c r="P34" s="165">
        <v>432255062561.42999</v>
      </c>
      <c r="Q34" s="158"/>
      <c r="R34" s="165">
        <v>419124841119.52002</v>
      </c>
      <c r="S34" s="158"/>
      <c r="U34" s="165">
        <v>416749079695.50995</v>
      </c>
      <c r="V34" s="158"/>
      <c r="W34" s="165">
        <v>410222846218.7901</v>
      </c>
      <c r="X34" s="158"/>
      <c r="Y34" s="165">
        <v>403069693736.99994</v>
      </c>
      <c r="Z34" s="158"/>
      <c r="AA34" s="165">
        <v>403806460705.34998</v>
      </c>
      <c r="AB34" s="158"/>
      <c r="AD34" s="165">
        <v>404950955725.60004</v>
      </c>
      <c r="AE34" s="158"/>
      <c r="AF34" s="165">
        <v>387432735107.46002</v>
      </c>
      <c r="AG34" s="158"/>
      <c r="AH34" s="165">
        <v>396338924241.18994</v>
      </c>
      <c r="AI34" s="158"/>
      <c r="AJ34" s="165">
        <v>397620728250.17993</v>
      </c>
      <c r="AK34" s="158"/>
      <c r="AM34" s="165">
        <v>398759402889.1499</v>
      </c>
      <c r="AN34" s="158"/>
      <c r="AO34" s="165">
        <v>403309206383.47009</v>
      </c>
      <c r="AP34" s="158"/>
      <c r="AQ34" s="165">
        <v>418089904346.91003</v>
      </c>
      <c r="AR34" s="158"/>
      <c r="AS34" s="165">
        <v>447305512406.82001</v>
      </c>
    </row>
    <row r="35" spans="1:45" ht="15" customHeight="1" x14ac:dyDescent="0.2">
      <c r="A35" s="64" t="s">
        <v>199</v>
      </c>
      <c r="B35" s="51"/>
      <c r="C35" s="90" t="s">
        <v>124</v>
      </c>
      <c r="D35" s="86"/>
      <c r="E35" s="166">
        <v>253828516373.37</v>
      </c>
      <c r="F35" s="166">
        <v>263804147052.64001</v>
      </c>
      <c r="G35" s="167">
        <f t="shared" si="25"/>
        <v>-3.7814533208530121E-2</v>
      </c>
      <c r="H35" s="166">
        <v>260014438639.93002</v>
      </c>
      <c r="I35" s="167">
        <f t="shared" si="26"/>
        <v>-2.3790687543803424E-2</v>
      </c>
      <c r="K35" s="166">
        <v>276905339719.02997</v>
      </c>
      <c r="L35" s="167">
        <f t="shared" si="27"/>
        <v>-8.333831109604295E-2</v>
      </c>
      <c r="N35" s="166">
        <v>253828516373.37</v>
      </c>
      <c r="O35" s="108"/>
      <c r="P35" s="166">
        <v>260014438639.93002</v>
      </c>
      <c r="Q35" s="108"/>
      <c r="R35" s="166">
        <v>268469392784.57001</v>
      </c>
      <c r="S35" s="108"/>
      <c r="U35" s="166">
        <v>276905339719.02997</v>
      </c>
      <c r="V35" s="108"/>
      <c r="W35" s="166">
        <v>263804147052.64001</v>
      </c>
      <c r="X35" s="108"/>
      <c r="Y35" s="166">
        <v>260265866277.19998</v>
      </c>
      <c r="Z35" s="108"/>
      <c r="AA35" s="166">
        <v>240529006086.29999</v>
      </c>
      <c r="AB35" s="108"/>
      <c r="AD35" s="166">
        <v>224024316757</v>
      </c>
      <c r="AE35" s="108"/>
      <c r="AF35" s="166">
        <v>221415395273.57999</v>
      </c>
      <c r="AG35" s="108"/>
      <c r="AH35" s="166">
        <v>208609676452.89001</v>
      </c>
      <c r="AI35" s="108"/>
      <c r="AJ35" s="166">
        <v>198322351495.14999</v>
      </c>
      <c r="AK35" s="108"/>
      <c r="AM35" s="166">
        <v>266410826441.34995</v>
      </c>
      <c r="AN35" s="108"/>
      <c r="AO35" s="166">
        <v>287328228966.55994</v>
      </c>
      <c r="AP35" s="108"/>
      <c r="AQ35" s="166">
        <v>272932406078.91003</v>
      </c>
      <c r="AR35" s="108"/>
      <c r="AS35" s="166">
        <v>262491817450.87009</v>
      </c>
    </row>
    <row r="36" spans="1:45" ht="15" customHeight="1" x14ac:dyDescent="0.2">
      <c r="A36" s="64" t="s">
        <v>293</v>
      </c>
      <c r="B36" s="51"/>
      <c r="C36" s="90" t="s">
        <v>295</v>
      </c>
      <c r="D36" s="86"/>
      <c r="E36" s="166">
        <v>59029153789.376099</v>
      </c>
      <c r="F36" s="166">
        <v>0</v>
      </c>
      <c r="G36" s="167" t="str">
        <f t="shared" si="25"/>
        <v>NM</v>
      </c>
      <c r="H36" s="166">
        <v>56843921776.047264</v>
      </c>
      <c r="I36" s="167">
        <f t="shared" si="26"/>
        <v>3.8442668011861914E-2</v>
      </c>
      <c r="K36" s="166" t="s">
        <v>331</v>
      </c>
      <c r="L36" s="167" t="str">
        <f t="shared" si="27"/>
        <v>NM</v>
      </c>
      <c r="N36" s="166">
        <v>59029153789.376099</v>
      </c>
      <c r="O36" s="108"/>
      <c r="P36" s="166">
        <v>56843921776.047264</v>
      </c>
      <c r="Q36" s="108"/>
      <c r="R36" s="166">
        <v>0</v>
      </c>
      <c r="S36" s="108"/>
      <c r="U36" s="166">
        <v>0</v>
      </c>
      <c r="V36" s="108"/>
      <c r="W36" s="166">
        <v>0</v>
      </c>
      <c r="X36" s="108"/>
      <c r="Y36" s="166">
        <v>0</v>
      </c>
      <c r="Z36" s="108"/>
      <c r="AA36" s="166">
        <v>0</v>
      </c>
      <c r="AB36" s="108"/>
      <c r="AD36" s="166">
        <v>0</v>
      </c>
      <c r="AE36" s="108"/>
      <c r="AF36" s="166">
        <v>0</v>
      </c>
      <c r="AG36" s="108"/>
      <c r="AH36" s="166">
        <v>0</v>
      </c>
      <c r="AI36" s="108"/>
      <c r="AJ36" s="166">
        <v>0</v>
      </c>
      <c r="AK36" s="108"/>
      <c r="AM36" s="166">
        <v>0</v>
      </c>
      <c r="AN36" s="108"/>
      <c r="AO36" s="166">
        <v>0</v>
      </c>
      <c r="AP36" s="108"/>
      <c r="AQ36" s="166">
        <v>0</v>
      </c>
      <c r="AR36" s="108"/>
      <c r="AS36" s="166">
        <v>0</v>
      </c>
    </row>
    <row r="37" spans="1:45" ht="18" customHeight="1" x14ac:dyDescent="0.2">
      <c r="A37" s="174" t="s">
        <v>144</v>
      </c>
      <c r="B37" s="51"/>
      <c r="C37" s="200" t="s">
        <v>130</v>
      </c>
      <c r="D37" s="86"/>
      <c r="E37" s="168">
        <v>2098115521320.6582</v>
      </c>
      <c r="F37" s="168">
        <v>1972562958924.2537</v>
      </c>
      <c r="G37" s="169">
        <f t="shared" si="25"/>
        <v>6.3649457589366465E-2</v>
      </c>
      <c r="H37" s="168">
        <v>2050728012163.6155</v>
      </c>
      <c r="I37" s="169">
        <f t="shared" si="26"/>
        <v>2.3107651953828245E-2</v>
      </c>
      <c r="K37" s="168">
        <v>2018497940384.2974</v>
      </c>
      <c r="L37" s="169">
        <f t="shared" si="27"/>
        <v>3.9443974325385156E-2</v>
      </c>
      <c r="N37" s="168">
        <v>2098115521320.6582</v>
      </c>
      <c r="O37" s="159"/>
      <c r="P37" s="168">
        <v>2050728012163.6155</v>
      </c>
      <c r="Q37" s="159"/>
      <c r="R37" s="168">
        <v>2034130746790.0405</v>
      </c>
      <c r="S37" s="159"/>
      <c r="U37" s="168">
        <v>2018497940384.2974</v>
      </c>
      <c r="V37" s="159"/>
      <c r="W37" s="168">
        <v>1972562958924.2537</v>
      </c>
      <c r="X37" s="159"/>
      <c r="Y37" s="168">
        <v>1937658057005.0933</v>
      </c>
      <c r="Z37" s="159"/>
      <c r="AA37" s="168">
        <v>1891665804564.3884</v>
      </c>
      <c r="AB37" s="159"/>
      <c r="AD37" s="168">
        <v>1794111860643.1135</v>
      </c>
      <c r="AE37" s="159"/>
      <c r="AF37" s="168">
        <v>1744750109891.6975</v>
      </c>
      <c r="AG37" s="159"/>
      <c r="AH37" s="168">
        <v>1738081600695.6965</v>
      </c>
      <c r="AI37" s="159"/>
      <c r="AJ37" s="168">
        <v>1716267505226.1885</v>
      </c>
      <c r="AK37" s="159"/>
      <c r="AM37" s="168">
        <v>1687978815022.9092</v>
      </c>
      <c r="AN37" s="159"/>
      <c r="AO37" s="168">
        <v>1696677294536.3848</v>
      </c>
      <c r="AP37" s="159"/>
      <c r="AQ37" s="168">
        <v>1714922198139.8867</v>
      </c>
      <c r="AR37" s="159"/>
      <c r="AS37" s="168">
        <v>1811889058893.5115</v>
      </c>
    </row>
    <row r="38" spans="1:45" ht="12" hidden="1" outlineLevel="1" x14ac:dyDescent="0.2">
      <c r="A38" s="2"/>
      <c r="B38" s="2"/>
      <c r="C38" s="63"/>
      <c r="D38" s="74"/>
      <c r="E38" s="272">
        <f>ROUND(E37-SUM(E25,E30,E35,E36)+E25-(E26+E27+E29)+E30-(E31+E32+E33+E34),3)</f>
        <v>64640109209.139999</v>
      </c>
      <c r="F38" s="272">
        <f>ROUND(F37-SUM(F25,F30,F35)+F25-(F26+F27+F29)+F30-(F31+F32+F33+F34),3)</f>
        <v>61990380054.730003</v>
      </c>
      <c r="H38" s="272">
        <f>ROUND(H37-SUM(H25,H30,H35,H36)+H25-(H26+H27+H29)+H30-(H31+H32+H33+H34),3)</f>
        <v>62730562972.300003</v>
      </c>
      <c r="K38" s="272">
        <f>ROUND(K37-SUM(K25,K30,K35)+K25-(K26+K27+K29)+K30-(K31+K32+K33+K34),3)</f>
        <v>61461004546.290001</v>
      </c>
      <c r="N38" s="272">
        <f>ROUND(N37-SUM(N25,N30,N35,N36)+N25-(N26+N27+N29)+N30-(N31+N32+N33+N34),3)</f>
        <v>64640109209.139999</v>
      </c>
      <c r="P38" s="272">
        <f>ROUND(P37-SUM(P25,P30,P35,P36)+P25-(P26+P27+P29)+P30-(P31+P32+P33+P34),3)</f>
        <v>62730562972.300003</v>
      </c>
      <c r="R38" s="272">
        <f>ROUND(R37-SUM(R25,R30,R35)+R25-(R26+R27+R29)+R30-(R31+R32+R33+R34),3)</f>
        <v>60770055242.560997</v>
      </c>
      <c r="U38" s="272">
        <f>ROUND(U37-SUM(U25,U30,U35)+U25-(U26+U27+U29)+U30-(U31+U32+U33+U34),3)</f>
        <v>61461004546.290001</v>
      </c>
      <c r="V38" s="156"/>
      <c r="W38" s="272">
        <f>ROUND(W37-SUM(W25,W30,W35)+W25-(W26+W27+W29)+W30-(W31+W32+W33+W34),3)</f>
        <v>61990380054.730003</v>
      </c>
      <c r="X38" s="156"/>
      <c r="Y38" s="272">
        <f>ROUND(Y37-SUM(Y25,Y30,Y35)+Y25-(Y26+Y27+Y29)+Y30-(Y31+Y32+Y33+Y34),3)</f>
        <v>61369046928.773003</v>
      </c>
      <c r="AA38" s="272">
        <f>ROUND(AA37-SUM(AA25,AA30,AA35)+AA25-(AA26+AA27+AA29)+AA30-(AA31+AA32+AA33+AA34),3)</f>
        <v>60251682629.098999</v>
      </c>
      <c r="AD38" s="308">
        <f>ROUND(AD37-SUM(AD25,AD30,AD35)+AD25-(AD26+AD27+AD29)+AD30-(AD31+AD32+AD33+AD34),3)</f>
        <v>60508042843.200996</v>
      </c>
      <c r="AE38" s="308"/>
      <c r="AF38" s="308">
        <f>ROUND(AF37-SUM(AF25,AF30,AF35)+AF25-(AF26+AF27+AF29)+AF30-(AF31+AF32+AF33+AF34),3)</f>
        <v>58097240791.619003</v>
      </c>
      <c r="AG38" s="308"/>
      <c r="AH38" s="308">
        <f>ROUND(AH37-SUM(AH25,AH30,AH35)+AH25-(AH26+AH27+AH29)+AH30-(AH31+AH32+AH33+AH34),3)</f>
        <v>58156002256.309998</v>
      </c>
      <c r="AJ38" s="308">
        <f>ROUND(AJ37-SUM(AJ25,AJ30,AJ35)+AJ25-(AJ26+AJ27+AJ29)+AJ30-(AJ31+AJ32+AJ33+AJ34),3)</f>
        <v>64882832643.119003</v>
      </c>
      <c r="AM38" s="308">
        <f>ROUND(AM37-SUM(AM25,AM30,AM35)+AM25-(AM26+AM27+AM29)+AM30-(AM31+AM32+AM33+AM34),3)</f>
        <v>-1467853322.1289999</v>
      </c>
      <c r="AO38" s="308">
        <f>ROUND(AO37-SUM(AO25,AO30,AO35)+AO25-(AO26+AO27+AO29)+AO30-(AO31+AO32+AO33+AO34),3)</f>
        <v>-1682443787.431</v>
      </c>
      <c r="AQ38" s="308">
        <f>ROUND(AQ37-SUM(AQ25,AQ30,AQ35)+AQ25-(AQ26+AQ27+AQ29)+AQ30-(AQ31+AQ32+AQ33+AQ34),3)</f>
        <v>-1527404733.49</v>
      </c>
      <c r="AS38" s="308">
        <f>ROUND(AS37-SUM(AS25,AS30,AS35)+AS25-(AS26+AS27+AS29)+AS30-(AS31+AS32+AS33+AS34),3)</f>
        <v>-1369582879.382</v>
      </c>
    </row>
    <row r="39" spans="1:45" ht="17.399999999999999" collapsed="1" x14ac:dyDescent="0.3">
      <c r="C39" s="179" t="s">
        <v>200</v>
      </c>
      <c r="D39" s="145"/>
      <c r="E39" s="146"/>
      <c r="F39" s="147"/>
      <c r="AD39" s="305"/>
      <c r="AF39" s="305"/>
      <c r="AH39" s="305"/>
      <c r="AJ39" s="305"/>
      <c r="AM39" s="305"/>
      <c r="AO39" s="305"/>
      <c r="AQ39" s="305"/>
      <c r="AS39" s="305"/>
    </row>
    <row r="40" spans="1:45" ht="27.75" customHeight="1" x14ac:dyDescent="0.25">
      <c r="A40" s="171" t="s">
        <v>175</v>
      </c>
      <c r="B40" s="2"/>
      <c r="C40" s="14" t="s">
        <v>127</v>
      </c>
      <c r="D40" s="74"/>
      <c r="E40" s="62" t="str">
        <f>"AuM 
"&amp;TEXT(DAY(E$1),"00")&amp;"."&amp;TEXT(MONTH(E$1),"00")&amp;"."&amp;YEAR(E$1)</f>
        <v>AuM 
30.09.2025</v>
      </c>
      <c r="F40" s="62" t="str">
        <f>"AuM 
"&amp;TEXT(DAY(F$1),"00")&amp;"."&amp;TEXT(MONTH(F$1),"00")&amp;"."&amp;YEAR(F$1)</f>
        <v>AuM 
30.09.2024</v>
      </c>
      <c r="G40" s="62" t="str">
        <f>"%ch. 
/ "&amp;TEXT(DAY(F$1),"00")&amp;"."&amp;TEXT(MONTH(F$1),"00")&amp;"."&amp;YEAR(F$1)</f>
        <v>%ch. 
/ 30.09.2024</v>
      </c>
      <c r="H40" s="62" t="str">
        <f>"AuM 
"&amp;TEXT(DAY(H$1),"00")&amp;"."&amp;TEXT(MONTH(H$1),"00")&amp;"."&amp;YEAR(H$1)</f>
        <v>AuM 
30.06.2025</v>
      </c>
      <c r="I40" s="62" t="str">
        <f>"%ch. 
/ "&amp;TEXT(DAY(H$1),"00")&amp;"."&amp;TEXT(MONTH(H$1),"00")&amp;"."&amp;YEAR(H$1)</f>
        <v>%ch. 
/ 30.06.2025</v>
      </c>
      <c r="K40" s="62" t="str">
        <f>"AuM 
"&amp;TEXT(DAY(K$1),"00")&amp;"."&amp;TEXT(MONTH(K$1),"00")&amp;"."&amp;YEAR(K$1)</f>
        <v>AuM 
31.12.2024</v>
      </c>
      <c r="L40" s="62" t="str">
        <f>"%ch. 
/ "&amp;TEXT(DAY(K$1),"00")&amp;"."&amp;TEXT(MONTH(K$1),"00")&amp;"."&amp;YEAR(K$1)</f>
        <v>%ch. 
/ 31.12.2024</v>
      </c>
      <c r="N40" s="62" t="str">
        <f>"AuM 
"&amp;TEXT(DAY(N$1),"00")&amp;"."&amp;TEXT(MONTH(N$1),"00")&amp;"."&amp;YEAR(N$1)</f>
        <v>AuM 
30.09.2025</v>
      </c>
      <c r="O40" s="108"/>
      <c r="P40" s="62" t="str">
        <f>"AuM 
"&amp;TEXT(DAY(P$1),"00")&amp;"."&amp;TEXT(MONTH(P$1),"00")&amp;"."&amp;YEAR(P$1)</f>
        <v>AuM 
30.06.2025</v>
      </c>
      <c r="Q40" s="108"/>
      <c r="R40" s="62" t="str">
        <f>"AuM 
"&amp;TEXT(DAY(R$1),"00")&amp;"."&amp;TEXT(MONTH(R$1),"00")&amp;"."&amp;YEAR(R$1)</f>
        <v>AuM 
31.03.2025</v>
      </c>
      <c r="S40" s="108"/>
      <c r="U40" s="62" t="str">
        <f>"AuM 
"&amp;TEXT(DAY(U$1),"00")&amp;"."&amp;TEXT(MONTH(U$1),"00")&amp;"."&amp;YEAR(U$1)</f>
        <v>AuM 
31.12.2024</v>
      </c>
      <c r="V40" s="108"/>
      <c r="W40" s="62" t="str">
        <f>"AuM 
"&amp;TEXT(DAY(W$1),"00")&amp;"."&amp;TEXT(MONTH(W$1),"00")&amp;"."&amp;YEAR(W$1)</f>
        <v>AuM 
30.09.2024</v>
      </c>
      <c r="X40" s="108"/>
      <c r="Y40" s="62" t="str">
        <f>"AuM 
"&amp;TEXT(DAY(Y$1),"00")&amp;"."&amp;TEXT(MONTH(Y$1),"00")&amp;"."&amp;YEAR(Y$1)</f>
        <v>AuM 
30.06.2024</v>
      </c>
      <c r="Z40" s="157"/>
      <c r="AA40" s="62" t="str">
        <f>"AuM 
"&amp;TEXT(DAY(AA$1),"00")&amp;"."&amp;TEXT(MONTH(AA$1),"00")&amp;"."&amp;YEAR(AA$1)</f>
        <v>AuM 
31.03.2024</v>
      </c>
      <c r="AB40" s="157"/>
      <c r="AD40" s="62" t="str">
        <f>"AuM 
"&amp;TEXT(DAY(AD$1),"00")&amp;"."&amp;TEXT(MONTH(AD$1),"00")&amp;"."&amp;YEAR(AD$1)</f>
        <v>AuM 
31.12.2023</v>
      </c>
      <c r="AE40" s="108"/>
      <c r="AF40" s="62" t="str">
        <f>"AuM 
"&amp;TEXT(DAY(AF$1),"00")&amp;"."&amp;TEXT(MONTH(AF$1),"00")&amp;"."&amp;YEAR(AF$1)</f>
        <v>AuM 
30.09.2023</v>
      </c>
      <c r="AG40" s="108"/>
      <c r="AH40" s="62" t="str">
        <f>"AuM 
"&amp;TEXT(DAY(AH$1),"00")&amp;"."&amp;TEXT(MONTH(AH$1),"00")&amp;"."&amp;YEAR(AH$1)</f>
        <v>AuM 
30.06.2023</v>
      </c>
      <c r="AI40" s="157"/>
      <c r="AJ40" s="62" t="str">
        <f>"AuM 
"&amp;TEXT(DAY(AJ$1),"00")&amp;"."&amp;TEXT(MONTH(AJ$1),"00")&amp;"."&amp;YEAR(AJ$1)</f>
        <v>AuM 
31.03.2023</v>
      </c>
      <c r="AK40" s="157"/>
      <c r="AM40" s="62" t="str">
        <f>"AuM 
"&amp;TEXT(DAY(AM$1),"00")&amp;"."&amp;TEXT(MONTH(AM$1),"00")&amp;"."&amp;YEAR(AM$1)</f>
        <v>AuM 
31.12.2022</v>
      </c>
      <c r="AN40" s="157"/>
      <c r="AO40" s="62" t="str">
        <f>"AuM 
"&amp;TEXT(DAY(AO$1),"00")&amp;"."&amp;TEXT(MONTH(AO$1),"00")&amp;"."&amp;YEAR(AO$1)</f>
        <v>AuM 
30.09.2022</v>
      </c>
      <c r="AP40" s="157"/>
      <c r="AQ40" s="62" t="str">
        <f>"AuM 
"&amp;TEXT(DAY(AQ$1),"00")&amp;"."&amp;TEXT(MONTH(AQ$1),"00")&amp;"."&amp;YEAR(AQ$1)</f>
        <v>AuM 
30.06.2022</v>
      </c>
      <c r="AR40" s="157"/>
      <c r="AS40" s="62" t="str">
        <f>"AuM 
"&amp;TEXT(DAY(AS$1),"00")&amp;"."&amp;TEXT(MONTH(AS$1),"00")&amp;"."&amp;YEAR(AS$1)</f>
        <v>AuM 
31.03.2022</v>
      </c>
    </row>
    <row r="41" spans="1:45" ht="3" customHeight="1" x14ac:dyDescent="0.2">
      <c r="A41" s="2"/>
      <c r="B41" s="2"/>
      <c r="C41" s="71"/>
      <c r="D41" s="74"/>
      <c r="E41" s="72"/>
      <c r="F41" s="72"/>
      <c r="G41" s="72"/>
      <c r="H41" s="72"/>
      <c r="I41" s="72"/>
      <c r="K41" s="72"/>
      <c r="L41" s="72"/>
      <c r="O41" s="354"/>
      <c r="Q41" s="157"/>
      <c r="S41" s="157"/>
      <c r="V41" s="157"/>
      <c r="X41" s="157"/>
      <c r="Z41" s="157"/>
      <c r="AB41" s="157"/>
      <c r="AE41" s="157"/>
      <c r="AG41" s="157"/>
      <c r="AI41" s="157"/>
      <c r="AK41" s="157"/>
      <c r="AN41" s="157"/>
      <c r="AP41" s="157"/>
      <c r="AR41" s="157"/>
    </row>
    <row r="42" spans="1:45" ht="15" customHeight="1" x14ac:dyDescent="0.25">
      <c r="A42" s="64" t="s">
        <v>201</v>
      </c>
      <c r="B42" s="51"/>
      <c r="C42" s="90" t="s">
        <v>128</v>
      </c>
      <c r="D42" s="75"/>
      <c r="E42" s="163">
        <v>65203602586.100006</v>
      </c>
      <c r="F42" s="163">
        <v>56091167189.230011</v>
      </c>
      <c r="G42" s="164">
        <f t="shared" ref="G42:G54" si="28">IF(ISERROR($E42*F42),"NM",IF($E42*F42&gt;0,IF($E42/F42&gt;2,"NM",$E42/F42-1),"NM"))</f>
        <v>0.16245758206685457</v>
      </c>
      <c r="H42" s="163">
        <v>63420090131.460007</v>
      </c>
      <c r="I42" s="164">
        <f t="shared" ref="I42:I54" si="29">IF(ISERROR($E42*H42),"NM",IF($E42*H42&gt;0,IF($E42/H42&gt;2,"NM",$E42/H42-1),"NM"))</f>
        <v>2.8122199936062131E-2</v>
      </c>
      <c r="K42" s="163">
        <v>61307130778.070023</v>
      </c>
      <c r="L42" s="164">
        <f t="shared" ref="L42:L54" si="30">IF(ISERROR($E42*K42),"NM",IF($E42*K42&gt;0,IF($E42/K42&gt;2,"NM",$E42/K42-1),"NM"))</f>
        <v>6.3556584015244333E-2</v>
      </c>
      <c r="N42" s="152">
        <v>65203602586.100006</v>
      </c>
      <c r="O42" s="108"/>
      <c r="P42" s="152">
        <v>63420090131.460007</v>
      </c>
      <c r="Q42" s="108"/>
      <c r="R42" s="152">
        <v>62645991841.329971</v>
      </c>
      <c r="S42" s="108"/>
      <c r="U42" s="152">
        <v>61307130778.070023</v>
      </c>
      <c r="V42" s="108"/>
      <c r="W42" s="152">
        <v>56091167189.230011</v>
      </c>
      <c r="X42" s="108"/>
      <c r="Y42" s="152">
        <v>50653873290.690002</v>
      </c>
      <c r="Z42" s="157"/>
      <c r="AA42" s="152">
        <v>49539554734.979988</v>
      </c>
      <c r="AB42" s="157"/>
      <c r="AD42" s="152">
        <v>51352125410.290009</v>
      </c>
      <c r="AE42" s="108"/>
      <c r="AF42" s="152">
        <v>46632018293.420013</v>
      </c>
      <c r="AG42" s="108"/>
      <c r="AH42" s="152">
        <v>43754728503.270004</v>
      </c>
      <c r="AI42" s="157"/>
      <c r="AJ42" s="152">
        <v>41536967526.350014</v>
      </c>
      <c r="AK42" s="157"/>
      <c r="AM42" s="152">
        <v>41015486714.930008</v>
      </c>
      <c r="AN42" s="157"/>
      <c r="AO42" s="152">
        <v>37860613713.270004</v>
      </c>
      <c r="AP42" s="157"/>
      <c r="AQ42" s="152">
        <v>37378147014.299988</v>
      </c>
      <c r="AR42" s="157"/>
      <c r="AS42" s="152">
        <v>38364444399.329803</v>
      </c>
    </row>
    <row r="43" spans="1:45" ht="15" customHeight="1" x14ac:dyDescent="0.2">
      <c r="A43" s="51" t="s">
        <v>202</v>
      </c>
      <c r="B43" s="51"/>
      <c r="C43" s="86" t="s">
        <v>125</v>
      </c>
      <c r="D43" s="86"/>
      <c r="E43" s="165">
        <v>27685880044.139992</v>
      </c>
      <c r="F43" s="165">
        <v>23728558333.240009</v>
      </c>
      <c r="G43" s="177">
        <f t="shared" si="28"/>
        <v>0.16677463735149867</v>
      </c>
      <c r="H43" s="165">
        <v>25764030920.869999</v>
      </c>
      <c r="I43" s="177">
        <f t="shared" si="29"/>
        <v>7.4594271726060146E-2</v>
      </c>
      <c r="K43" s="165">
        <v>24819536885.240021</v>
      </c>
      <c r="L43" s="177">
        <f t="shared" si="30"/>
        <v>0.11548737481095239</v>
      </c>
      <c r="N43" s="99">
        <v>27685880044.139992</v>
      </c>
      <c r="O43" s="158"/>
      <c r="P43" s="99">
        <v>25764030920.869999</v>
      </c>
      <c r="Q43" s="158"/>
      <c r="R43" s="99">
        <v>25767577976.279976</v>
      </c>
      <c r="S43" s="158"/>
      <c r="U43" s="99">
        <v>24819536885.240021</v>
      </c>
      <c r="V43" s="158"/>
      <c r="W43" s="99">
        <v>23728558333.240009</v>
      </c>
      <c r="X43" s="158"/>
      <c r="Y43" s="99">
        <v>21097384549.68</v>
      </c>
      <c r="Z43" s="157"/>
      <c r="AA43" s="99">
        <v>22473752344.80999</v>
      </c>
      <c r="AB43" s="157"/>
      <c r="AD43" s="99">
        <v>21522332793.820015</v>
      </c>
      <c r="AE43" s="158"/>
      <c r="AF43" s="99">
        <v>19019522720.130013</v>
      </c>
      <c r="AG43" s="158"/>
      <c r="AH43" s="99">
        <v>18337597997.389999</v>
      </c>
      <c r="AI43" s="157"/>
      <c r="AJ43" s="99">
        <v>18612773515.400009</v>
      </c>
      <c r="AK43" s="157"/>
      <c r="AM43" s="99">
        <v>16623879580.580006</v>
      </c>
      <c r="AN43" s="157"/>
      <c r="AO43" s="99">
        <v>15709056241.130005</v>
      </c>
      <c r="AP43" s="157"/>
      <c r="AQ43" s="99">
        <v>15130804697.929996</v>
      </c>
      <c r="AR43" s="157"/>
      <c r="AS43" s="99">
        <v>16076879751.209797</v>
      </c>
    </row>
    <row r="44" spans="1:45" ht="12" x14ac:dyDescent="0.25">
      <c r="A44" s="51" t="s">
        <v>244</v>
      </c>
      <c r="B44" s="51"/>
      <c r="C44" s="86" t="s">
        <v>126</v>
      </c>
      <c r="D44" s="87"/>
      <c r="E44" s="165">
        <v>5902878252.0799999</v>
      </c>
      <c r="F44" s="165">
        <v>4545464504.7699995</v>
      </c>
      <c r="G44" s="177">
        <f t="shared" si="28"/>
        <v>0.29863037009430693</v>
      </c>
      <c r="H44" s="165">
        <v>5868995284.249999</v>
      </c>
      <c r="I44" s="177">
        <f t="shared" si="29"/>
        <v>5.773214355944134E-3</v>
      </c>
      <c r="K44" s="165">
        <v>4981467557.6199999</v>
      </c>
      <c r="L44" s="177">
        <f t="shared" si="30"/>
        <v>0.18496771961317826</v>
      </c>
      <c r="N44" s="99">
        <v>5902878252.0799999</v>
      </c>
      <c r="O44" s="158"/>
      <c r="P44" s="99">
        <v>5868995284.249999</v>
      </c>
      <c r="Q44" s="158"/>
      <c r="R44" s="99">
        <v>5213280887.5999994</v>
      </c>
      <c r="S44" s="158"/>
      <c r="U44" s="99">
        <v>4981467557.6199999</v>
      </c>
      <c r="V44" s="158"/>
      <c r="W44" s="99">
        <v>4545464504.7699995</v>
      </c>
      <c r="X44" s="158"/>
      <c r="Y44" s="99">
        <v>4205645310.9100003</v>
      </c>
      <c r="Z44" s="157"/>
      <c r="AA44" s="99">
        <v>3373122090.4200001</v>
      </c>
      <c r="AB44" s="157"/>
      <c r="AD44" s="99">
        <v>4865979497.1499996</v>
      </c>
      <c r="AE44" s="158"/>
      <c r="AF44" s="99">
        <v>3289065428.9099998</v>
      </c>
      <c r="AG44" s="158"/>
      <c r="AH44" s="99">
        <v>2633508180.9100003</v>
      </c>
      <c r="AI44" s="157"/>
      <c r="AJ44" s="99">
        <v>2316728306.75</v>
      </c>
      <c r="AK44" s="157"/>
      <c r="AM44" s="99">
        <v>2309016381.4300003</v>
      </c>
      <c r="AN44" s="157"/>
      <c r="AO44" s="99">
        <v>2543190889.5700002</v>
      </c>
      <c r="AP44" s="157"/>
      <c r="AQ44" s="99">
        <v>2426722754.8699999</v>
      </c>
      <c r="AR44" s="157"/>
      <c r="AS44" s="99">
        <v>2216639962.4899998</v>
      </c>
    </row>
    <row r="45" spans="1:45" outlineLevel="1" x14ac:dyDescent="0.2">
      <c r="A45" s="65" t="s">
        <v>203</v>
      </c>
      <c r="B45" s="51"/>
      <c r="C45" s="98" t="s">
        <v>131</v>
      </c>
      <c r="D45" s="88"/>
      <c r="E45" s="201" t="s">
        <v>331</v>
      </c>
      <c r="F45" s="201" t="s">
        <v>331</v>
      </c>
      <c r="G45" s="202" t="str">
        <f t="shared" si="28"/>
        <v>NM</v>
      </c>
      <c r="H45" s="201" t="s">
        <v>331</v>
      </c>
      <c r="I45" s="202" t="str">
        <f t="shared" si="29"/>
        <v>NM</v>
      </c>
      <c r="K45" s="201" t="s">
        <v>331</v>
      </c>
      <c r="L45" s="202" t="str">
        <f t="shared" si="30"/>
        <v>NM</v>
      </c>
      <c r="N45" s="203" t="s">
        <v>331</v>
      </c>
      <c r="O45" s="355"/>
      <c r="P45" s="203" t="s">
        <v>331</v>
      </c>
      <c r="Q45" s="204"/>
      <c r="R45" s="203" t="s">
        <v>331</v>
      </c>
      <c r="S45" s="204"/>
      <c r="U45" s="203" t="s">
        <v>331</v>
      </c>
      <c r="V45" s="204"/>
      <c r="W45" s="203" t="s">
        <v>331</v>
      </c>
      <c r="X45" s="204"/>
      <c r="Y45" s="203" t="s">
        <v>331</v>
      </c>
      <c r="Z45" s="205"/>
      <c r="AA45" s="203" t="s">
        <v>331</v>
      </c>
      <c r="AB45" s="205"/>
      <c r="AD45" s="99"/>
      <c r="AE45" s="204"/>
      <c r="AF45" s="99"/>
      <c r="AG45" s="204"/>
      <c r="AH45" s="99"/>
      <c r="AI45" s="205"/>
      <c r="AJ45" s="203" t="s">
        <v>331</v>
      </c>
      <c r="AK45" s="205"/>
      <c r="AM45" s="203" t="s">
        <v>331</v>
      </c>
      <c r="AN45" s="205"/>
      <c r="AO45" s="203" t="s">
        <v>331</v>
      </c>
      <c r="AP45" s="205"/>
      <c r="AQ45" s="203" t="s">
        <v>331</v>
      </c>
      <c r="AR45" s="205"/>
      <c r="AS45" s="203" t="s">
        <v>331</v>
      </c>
    </row>
    <row r="46" spans="1:45" x14ac:dyDescent="0.2">
      <c r="A46" s="51" t="s">
        <v>204</v>
      </c>
      <c r="B46" s="51"/>
      <c r="C46" s="86" t="s">
        <v>132</v>
      </c>
      <c r="D46" s="86"/>
      <c r="E46" s="165">
        <v>31614844289.880013</v>
      </c>
      <c r="F46" s="165">
        <v>27817144351.220001</v>
      </c>
      <c r="G46" s="177">
        <f t="shared" si="28"/>
        <v>0.13652371683844144</v>
      </c>
      <c r="H46" s="165">
        <v>31787063926.340004</v>
      </c>
      <c r="I46" s="177">
        <f t="shared" si="29"/>
        <v>-5.4179158181791864E-3</v>
      </c>
      <c r="K46" s="165">
        <v>31506126335.210007</v>
      </c>
      <c r="L46" s="177">
        <f t="shared" si="30"/>
        <v>3.4506925260597843E-3</v>
      </c>
      <c r="N46" s="99">
        <v>31614844289.880013</v>
      </c>
      <c r="O46" s="158"/>
      <c r="P46" s="99">
        <v>31787063926.340004</v>
      </c>
      <c r="Q46" s="158"/>
      <c r="R46" s="99">
        <v>31665132977.449997</v>
      </c>
      <c r="S46" s="158"/>
      <c r="U46" s="99">
        <v>31506126335.210007</v>
      </c>
      <c r="V46" s="158"/>
      <c r="W46" s="99">
        <v>27817144351.220001</v>
      </c>
      <c r="X46" s="158"/>
      <c r="Y46" s="99">
        <v>25350843430.100002</v>
      </c>
      <c r="Z46" s="157"/>
      <c r="AA46" s="99">
        <v>23692680299.75</v>
      </c>
      <c r="AB46" s="157"/>
      <c r="AD46" s="99">
        <v>24963813119.319992</v>
      </c>
      <c r="AE46" s="158"/>
      <c r="AF46" s="99">
        <v>24323430144.380001</v>
      </c>
      <c r="AG46" s="158"/>
      <c r="AH46" s="99">
        <v>22783622324.970001</v>
      </c>
      <c r="AI46" s="157"/>
      <c r="AJ46" s="99">
        <v>20607465704.200005</v>
      </c>
      <c r="AK46" s="157"/>
      <c r="AM46" s="99">
        <v>22082590752.920006</v>
      </c>
      <c r="AN46" s="157"/>
      <c r="AO46" s="99">
        <v>19608366582.570004</v>
      </c>
      <c r="AP46" s="157"/>
      <c r="AQ46" s="99">
        <v>19820619561.499989</v>
      </c>
      <c r="AR46" s="157"/>
      <c r="AS46" s="99">
        <v>20070924685.630001</v>
      </c>
    </row>
    <row r="47" spans="1:45" ht="15" customHeight="1" x14ac:dyDescent="0.2">
      <c r="A47" s="173" t="s">
        <v>205</v>
      </c>
      <c r="B47" s="51"/>
      <c r="C47" s="90" t="s">
        <v>129</v>
      </c>
      <c r="D47" s="74"/>
      <c r="E47" s="163">
        <v>117547204977.3</v>
      </c>
      <c r="F47" s="163">
        <v>129170298290.14</v>
      </c>
      <c r="G47" s="164">
        <f t="shared" si="28"/>
        <v>-8.9982708615663487E-2</v>
      </c>
      <c r="H47" s="163">
        <v>116280686012.41</v>
      </c>
      <c r="I47" s="164">
        <f t="shared" si="29"/>
        <v>1.089191170367565E-2</v>
      </c>
      <c r="K47" s="163">
        <v>126761057949.15997</v>
      </c>
      <c r="L47" s="164">
        <f t="shared" si="30"/>
        <v>-7.2686778738903945E-2</v>
      </c>
      <c r="N47" s="152">
        <v>117547204977.3</v>
      </c>
      <c r="O47" s="108"/>
      <c r="P47" s="152">
        <v>116280686012.41</v>
      </c>
      <c r="Q47" s="108"/>
      <c r="R47" s="152">
        <v>117741691932.12009</v>
      </c>
      <c r="S47" s="108"/>
      <c r="U47" s="152">
        <v>126761057949.15997</v>
      </c>
      <c r="V47" s="108"/>
      <c r="W47" s="152">
        <v>129170298290.14</v>
      </c>
      <c r="X47" s="108"/>
      <c r="Y47" s="152">
        <v>132947359961.49002</v>
      </c>
      <c r="Z47" s="157"/>
      <c r="AA47" s="152">
        <v>143297998961.14999</v>
      </c>
      <c r="AB47" s="157"/>
      <c r="AD47" s="152">
        <v>159839518725.31</v>
      </c>
      <c r="AE47" s="108"/>
      <c r="AF47" s="152">
        <v>151479727739.54996</v>
      </c>
      <c r="AG47" s="108"/>
      <c r="AH47" s="152">
        <v>148721998758.92001</v>
      </c>
      <c r="AI47" s="157"/>
      <c r="AJ47" s="152">
        <v>146982063188.01001</v>
      </c>
      <c r="AK47" s="157"/>
      <c r="AM47" s="152">
        <v>144419990403.53998</v>
      </c>
      <c r="AN47" s="157"/>
      <c r="AO47" s="152">
        <v>126879866410.4599</v>
      </c>
      <c r="AP47" s="157"/>
      <c r="AQ47" s="152">
        <v>135462922580.13988</v>
      </c>
      <c r="AR47" s="157"/>
      <c r="AS47" s="152">
        <v>135809660518.95021</v>
      </c>
    </row>
    <row r="48" spans="1:45" ht="15" customHeight="1" x14ac:dyDescent="0.2">
      <c r="A48" s="66" t="s">
        <v>206</v>
      </c>
      <c r="B48" s="51"/>
      <c r="C48" s="86" t="s">
        <v>122</v>
      </c>
      <c r="D48" s="86"/>
      <c r="E48" s="165">
        <v>46862876981.205002</v>
      </c>
      <c r="F48" s="165">
        <v>53075452623.680008</v>
      </c>
      <c r="G48" s="177">
        <f t="shared" si="28"/>
        <v>-0.11705176942199491</v>
      </c>
      <c r="H48" s="165">
        <v>48886669658.305885</v>
      </c>
      <c r="I48" s="177">
        <f t="shared" si="29"/>
        <v>-4.1397638481946331E-2</v>
      </c>
      <c r="K48" s="165">
        <v>45721098110.933731</v>
      </c>
      <c r="L48" s="177">
        <f t="shared" si="30"/>
        <v>2.4972691327337593E-2</v>
      </c>
      <c r="N48" s="99">
        <v>46862876981.205002</v>
      </c>
      <c r="O48" s="158"/>
      <c r="P48" s="99">
        <v>48886669658.305885</v>
      </c>
      <c r="Q48" s="158"/>
      <c r="R48" s="99">
        <v>49020609784.37883</v>
      </c>
      <c r="S48" s="158"/>
      <c r="U48" s="99">
        <v>45721098110.933731</v>
      </c>
      <c r="V48" s="158"/>
      <c r="W48" s="99">
        <v>53075452623.680008</v>
      </c>
      <c r="X48" s="158"/>
      <c r="Y48" s="99">
        <v>55085618105.379997</v>
      </c>
      <c r="Z48" s="157"/>
      <c r="AA48" s="99">
        <v>59754919459.220009</v>
      </c>
      <c r="AB48" s="157"/>
      <c r="AD48" s="99">
        <v>67236941460.159996</v>
      </c>
      <c r="AE48" s="158"/>
      <c r="AF48" s="99">
        <v>72613324338.242935</v>
      </c>
      <c r="AG48" s="158"/>
      <c r="AH48" s="99">
        <v>66971137005.054108</v>
      </c>
      <c r="AI48" s="157"/>
      <c r="AJ48" s="99">
        <v>70612732772.055603</v>
      </c>
      <c r="AK48" s="157"/>
      <c r="AM48" s="99">
        <v>63762791562.168213</v>
      </c>
      <c r="AN48" s="157"/>
      <c r="AO48" s="99">
        <v>64413287021.482513</v>
      </c>
      <c r="AP48" s="157"/>
      <c r="AQ48" s="99">
        <v>68248504831.766136</v>
      </c>
      <c r="AR48" s="157"/>
      <c r="AS48" s="99">
        <v>66442926763.060776</v>
      </c>
    </row>
    <row r="49" spans="1:45" x14ac:dyDescent="0.2">
      <c r="A49" s="66" t="s">
        <v>207</v>
      </c>
      <c r="B49" s="51"/>
      <c r="C49" s="86" t="s">
        <v>123</v>
      </c>
      <c r="D49" s="86"/>
      <c r="E49" s="165">
        <v>49358335288.759987</v>
      </c>
      <c r="F49" s="165">
        <v>50700283214.469994</v>
      </c>
      <c r="G49" s="177">
        <f t="shared" si="28"/>
        <v>-2.6468253047687296E-2</v>
      </c>
      <c r="H49" s="165">
        <v>45585507373.920006</v>
      </c>
      <c r="I49" s="177">
        <f t="shared" si="29"/>
        <v>8.2763758312328406E-2</v>
      </c>
      <c r="K49" s="165">
        <v>60189038702.119987</v>
      </c>
      <c r="L49" s="177">
        <f t="shared" si="30"/>
        <v>-0.17994478142377313</v>
      </c>
      <c r="N49" s="99">
        <v>49358335288.759987</v>
      </c>
      <c r="O49" s="158"/>
      <c r="P49" s="99">
        <v>45585507373.920006</v>
      </c>
      <c r="Q49" s="158"/>
      <c r="R49" s="99">
        <v>49100836865.849998</v>
      </c>
      <c r="S49" s="158"/>
      <c r="U49" s="99">
        <v>60189038702.119987</v>
      </c>
      <c r="V49" s="158"/>
      <c r="W49" s="99">
        <v>50700283214.469994</v>
      </c>
      <c r="X49" s="158"/>
      <c r="Y49" s="99">
        <v>49068447982.51001</v>
      </c>
      <c r="Z49" s="157"/>
      <c r="AA49" s="99">
        <v>52514349715.479988</v>
      </c>
      <c r="AB49" s="157"/>
      <c r="AD49" s="99">
        <v>57257960437.440018</v>
      </c>
      <c r="AE49" s="158"/>
      <c r="AF49" s="99">
        <v>46444615100.759979</v>
      </c>
      <c r="AG49" s="158"/>
      <c r="AH49" s="99">
        <v>48991723397.710007</v>
      </c>
      <c r="AI49" s="157"/>
      <c r="AJ49" s="99">
        <v>45543122375.340012</v>
      </c>
      <c r="AK49" s="157"/>
      <c r="AM49" s="99">
        <v>52114779077.149994</v>
      </c>
      <c r="AN49" s="157"/>
      <c r="AO49" s="99">
        <v>34025125207.589996</v>
      </c>
      <c r="AP49" s="157"/>
      <c r="AQ49" s="99">
        <v>37974931183.559982</v>
      </c>
      <c r="AR49" s="157"/>
      <c r="AS49" s="99">
        <v>42832912470.319984</v>
      </c>
    </row>
    <row r="50" spans="1:45" x14ac:dyDescent="0.2">
      <c r="A50" s="66" t="s">
        <v>208</v>
      </c>
      <c r="B50" s="51"/>
      <c r="C50" s="86" t="s">
        <v>236</v>
      </c>
      <c r="D50" s="86"/>
      <c r="E50" s="165">
        <v>9081485088.0649967</v>
      </c>
      <c r="F50" s="165">
        <v>7721970188.9899998</v>
      </c>
      <c r="G50" s="177">
        <f t="shared" si="28"/>
        <v>0.17605803516483354</v>
      </c>
      <c r="H50" s="165">
        <v>9414675980.9341125</v>
      </c>
      <c r="I50" s="177">
        <f t="shared" si="29"/>
        <v>-3.5390585246254713E-2</v>
      </c>
      <c r="K50" s="165">
        <v>8224496401.4362679</v>
      </c>
      <c r="L50" s="177">
        <f t="shared" si="30"/>
        <v>0.10419953329653975</v>
      </c>
      <c r="N50" s="99">
        <v>9081485088.0649967</v>
      </c>
      <c r="O50" s="158"/>
      <c r="P50" s="99">
        <v>9414675980.9341125</v>
      </c>
      <c r="Q50" s="158"/>
      <c r="R50" s="99">
        <v>8545804679.4112682</v>
      </c>
      <c r="S50" s="158"/>
      <c r="U50" s="99">
        <v>8224496401.4362679</v>
      </c>
      <c r="V50" s="158"/>
      <c r="W50" s="99">
        <v>7721970188.9899998</v>
      </c>
      <c r="X50" s="158"/>
      <c r="Y50" s="99">
        <v>7654367766.6000004</v>
      </c>
      <c r="Z50" s="157"/>
      <c r="AA50" s="99">
        <v>7440432748.4499998</v>
      </c>
      <c r="AB50" s="157"/>
      <c r="AD50" s="99">
        <v>13559037192.959999</v>
      </c>
      <c r="AE50" s="158"/>
      <c r="AF50" s="99">
        <v>13363536877.26705</v>
      </c>
      <c r="AG50" s="158"/>
      <c r="AH50" s="99">
        <v>13066469639.855892</v>
      </c>
      <c r="AI50" s="157"/>
      <c r="AJ50" s="99">
        <v>12268949762.564383</v>
      </c>
      <c r="AK50" s="157"/>
      <c r="AM50" s="99">
        <v>11991445946.671778</v>
      </c>
      <c r="AN50" s="157"/>
      <c r="AO50" s="99">
        <v>12167835111.5674</v>
      </c>
      <c r="AP50" s="157"/>
      <c r="AQ50" s="99">
        <v>12302555686.953764</v>
      </c>
      <c r="AR50" s="157"/>
      <c r="AS50" s="99">
        <v>11903704536.239407</v>
      </c>
    </row>
    <row r="51" spans="1:45" x14ac:dyDescent="0.2">
      <c r="A51" s="66" t="s">
        <v>209</v>
      </c>
      <c r="B51" s="51"/>
      <c r="C51" s="86" t="s">
        <v>237</v>
      </c>
      <c r="D51" s="86"/>
      <c r="E51" s="165">
        <v>12244507619.27</v>
      </c>
      <c r="F51" s="165">
        <v>17672592263</v>
      </c>
      <c r="G51" s="177">
        <f t="shared" si="28"/>
        <v>-0.30714705363821704</v>
      </c>
      <c r="H51" s="165">
        <v>12393832999.25</v>
      </c>
      <c r="I51" s="177">
        <f t="shared" si="29"/>
        <v>-1.2048361470501923E-2</v>
      </c>
      <c r="K51" s="165">
        <v>12626424734.67</v>
      </c>
      <c r="L51" s="177">
        <f t="shared" si="30"/>
        <v>-3.0247447193132992E-2</v>
      </c>
      <c r="N51" s="99">
        <v>12244507619.27</v>
      </c>
      <c r="O51" s="158"/>
      <c r="P51" s="99">
        <v>12393832999.25</v>
      </c>
      <c r="Q51" s="158"/>
      <c r="R51" s="99">
        <v>11074440602.48</v>
      </c>
      <c r="S51" s="158"/>
      <c r="U51" s="99">
        <v>12626424734.67</v>
      </c>
      <c r="V51" s="158"/>
      <c r="W51" s="99">
        <v>17672592263</v>
      </c>
      <c r="X51" s="158"/>
      <c r="Y51" s="99">
        <v>21138926107</v>
      </c>
      <c r="Z51" s="157"/>
      <c r="AA51" s="99">
        <v>23588297038</v>
      </c>
      <c r="AB51" s="157"/>
      <c r="AD51" s="99">
        <v>21785579634.75</v>
      </c>
      <c r="AE51" s="158"/>
      <c r="AF51" s="99">
        <v>19058251423.279999</v>
      </c>
      <c r="AG51" s="158"/>
      <c r="AH51" s="99">
        <v>19692668716.299999</v>
      </c>
      <c r="AI51" s="157"/>
      <c r="AJ51" s="99">
        <v>18557258278.049999</v>
      </c>
      <c r="AK51" s="157"/>
      <c r="AM51" s="99">
        <v>16550973817.550001</v>
      </c>
      <c r="AN51" s="157"/>
      <c r="AO51" s="99">
        <v>16273619069.82</v>
      </c>
      <c r="AP51" s="157"/>
      <c r="AQ51" s="99">
        <v>16936930877.859999</v>
      </c>
      <c r="AR51" s="157"/>
      <c r="AS51" s="99">
        <v>14630116749.33</v>
      </c>
    </row>
    <row r="52" spans="1:45" ht="15" customHeight="1" x14ac:dyDescent="0.2">
      <c r="A52" s="64" t="s">
        <v>210</v>
      </c>
      <c r="B52" s="51"/>
      <c r="C52" s="90" t="s">
        <v>124</v>
      </c>
      <c r="D52" s="86"/>
      <c r="E52" s="166">
        <v>14952476478.940001</v>
      </c>
      <c r="F52" s="166">
        <v>14496365361.469999</v>
      </c>
      <c r="G52" s="167">
        <f t="shared" si="28"/>
        <v>3.1463826007193774E-2</v>
      </c>
      <c r="H52" s="166">
        <v>16056521984.379999</v>
      </c>
      <c r="I52" s="167">
        <f t="shared" si="29"/>
        <v>-6.8759941070303365E-2</v>
      </c>
      <c r="K52" s="166">
        <v>14877050803.27</v>
      </c>
      <c r="L52" s="167">
        <f t="shared" si="30"/>
        <v>5.0699346710183502E-3</v>
      </c>
      <c r="N52" s="153">
        <v>14952476478.940001</v>
      </c>
      <c r="O52" s="108"/>
      <c r="P52" s="153">
        <v>16056521984.379999</v>
      </c>
      <c r="Q52" s="108"/>
      <c r="R52" s="153">
        <v>12731927114.34</v>
      </c>
      <c r="S52" s="108"/>
      <c r="U52" s="153">
        <v>14877050803.27</v>
      </c>
      <c r="V52" s="108"/>
      <c r="W52" s="153">
        <v>14496365361.469999</v>
      </c>
      <c r="X52" s="108"/>
      <c r="Y52" s="153">
        <v>14335781916.209999</v>
      </c>
      <c r="Z52" s="157"/>
      <c r="AA52" s="153">
        <v>11581764979.860001</v>
      </c>
      <c r="AB52" s="157"/>
      <c r="AD52" s="153">
        <v>12940423078.110001</v>
      </c>
      <c r="AE52" s="108"/>
      <c r="AF52" s="153">
        <v>12789044291.07</v>
      </c>
      <c r="AG52" s="108"/>
      <c r="AH52" s="153">
        <v>13753666693.299999</v>
      </c>
      <c r="AI52" s="157"/>
      <c r="AJ52" s="153">
        <v>11944136701.620001</v>
      </c>
      <c r="AK52" s="157"/>
      <c r="AM52" s="153">
        <v>29112497822.440002</v>
      </c>
      <c r="AN52" s="157"/>
      <c r="AO52" s="153">
        <v>32164240081.260002</v>
      </c>
      <c r="AP52" s="157"/>
      <c r="AQ52" s="153">
        <v>35239935534.229996</v>
      </c>
      <c r="AR52" s="157"/>
      <c r="AS52" s="153">
        <v>33028162186.130001</v>
      </c>
    </row>
    <row r="53" spans="1:45" ht="15" customHeight="1" x14ac:dyDescent="0.2">
      <c r="A53" s="64" t="s">
        <v>294</v>
      </c>
      <c r="B53" s="51"/>
      <c r="C53" s="90" t="s">
        <v>296</v>
      </c>
      <c r="D53" s="86"/>
      <c r="E53" s="166">
        <v>812799693.60398304</v>
      </c>
      <c r="F53" s="166">
        <v>0</v>
      </c>
      <c r="G53" s="332" t="str">
        <f t="shared" si="28"/>
        <v>NM</v>
      </c>
      <c r="H53" s="166">
        <v>807745974.95527697</v>
      </c>
      <c r="I53" s="332">
        <f t="shared" si="29"/>
        <v>6.2565692747473811E-3</v>
      </c>
      <c r="K53" s="166" t="s">
        <v>331</v>
      </c>
      <c r="L53" s="167" t="str">
        <f t="shared" si="30"/>
        <v>NM</v>
      </c>
      <c r="N53" s="153">
        <v>812799693.60398304</v>
      </c>
      <c r="O53" s="108"/>
      <c r="P53" s="153">
        <v>807745974.95527697</v>
      </c>
      <c r="Q53" s="108"/>
      <c r="R53" s="153">
        <v>0</v>
      </c>
      <c r="S53" s="108"/>
      <c r="U53" s="153">
        <v>0</v>
      </c>
      <c r="V53" s="108"/>
      <c r="W53" s="153">
        <v>0</v>
      </c>
      <c r="X53" s="108"/>
      <c r="Y53" s="153">
        <v>0</v>
      </c>
      <c r="Z53" s="157"/>
      <c r="AA53" s="153">
        <v>0</v>
      </c>
      <c r="AB53" s="157"/>
      <c r="AD53" s="153">
        <v>0</v>
      </c>
      <c r="AE53" s="108"/>
      <c r="AF53" s="153">
        <v>0</v>
      </c>
      <c r="AG53" s="108"/>
      <c r="AH53" s="153">
        <v>0</v>
      </c>
      <c r="AI53" s="157"/>
      <c r="AJ53" s="153">
        <v>0</v>
      </c>
      <c r="AK53" s="157"/>
      <c r="AM53" s="153">
        <v>0</v>
      </c>
      <c r="AN53" s="157"/>
      <c r="AO53" s="153">
        <v>0</v>
      </c>
      <c r="AP53" s="157"/>
      <c r="AQ53" s="153">
        <v>0</v>
      </c>
      <c r="AR53" s="157"/>
      <c r="AS53" s="153">
        <v>0</v>
      </c>
    </row>
    <row r="54" spans="1:45" ht="18" customHeight="1" x14ac:dyDescent="0.25">
      <c r="A54" s="174" t="s">
        <v>145</v>
      </c>
      <c r="B54" s="51"/>
      <c r="C54" s="89" t="s">
        <v>130</v>
      </c>
      <c r="D54" s="86"/>
      <c r="E54" s="168">
        <v>219312651128.14392</v>
      </c>
      <c r="F54" s="168">
        <v>218982274496.70999</v>
      </c>
      <c r="G54" s="169">
        <f t="shared" si="28"/>
        <v>1.5086912043142942E-3</v>
      </c>
      <c r="H54" s="168">
        <v>216410802617.16531</v>
      </c>
      <c r="I54" s="169">
        <f t="shared" si="29"/>
        <v>1.3408981787808472E-2</v>
      </c>
      <c r="K54" s="168">
        <v>221568428073.20013</v>
      </c>
      <c r="L54" s="169">
        <f t="shared" si="30"/>
        <v>-1.0180949355794389E-2</v>
      </c>
      <c r="N54" s="154">
        <v>219312651128.14392</v>
      </c>
      <c r="O54" s="159"/>
      <c r="P54" s="154">
        <v>216410802617.16531</v>
      </c>
      <c r="Q54" s="159"/>
      <c r="R54" s="154">
        <v>213056219712.08023</v>
      </c>
      <c r="S54" s="159"/>
      <c r="U54" s="154">
        <v>221568428073.20013</v>
      </c>
      <c r="V54" s="159"/>
      <c r="W54" s="154">
        <v>218982274496.70999</v>
      </c>
      <c r="X54" s="159"/>
      <c r="Y54" s="154">
        <v>218439633768.86008</v>
      </c>
      <c r="Z54" s="157"/>
      <c r="AA54" s="154">
        <v>224479222785.28</v>
      </c>
      <c r="AB54" s="157"/>
      <c r="AD54" s="154">
        <v>242476172926.57013</v>
      </c>
      <c r="AE54" s="159"/>
      <c r="AF54" s="154">
        <v>228554283443.72995</v>
      </c>
      <c r="AG54" s="159"/>
      <c r="AH54" s="154">
        <v>223235300757.77008</v>
      </c>
      <c r="AI54" s="157"/>
      <c r="AJ54" s="154">
        <v>217594077003.8801</v>
      </c>
      <c r="AK54" s="157"/>
      <c r="AM54" s="154">
        <v>216015828263.03973</v>
      </c>
      <c r="AN54" s="157"/>
      <c r="AO54" s="154">
        <v>198587163992.41995</v>
      </c>
      <c r="AP54" s="157"/>
      <c r="AQ54" s="154">
        <v>209608409862.1597</v>
      </c>
      <c r="AR54" s="157"/>
      <c r="AS54" s="154">
        <v>208571849983.78998</v>
      </c>
    </row>
    <row r="55" spans="1:45" ht="12" hidden="1" outlineLevel="1" x14ac:dyDescent="0.2">
      <c r="A55" s="2"/>
      <c r="B55" s="2"/>
      <c r="C55" s="63"/>
      <c r="D55" s="74"/>
      <c r="E55" s="272">
        <f>ROUND(E54-SUM(E42,E47,E52,E53)+E42-(E43+E44+E46)+E47-(E48+E49+E50+E51),3)</f>
        <v>20796567392.200001</v>
      </c>
      <c r="F55" s="272">
        <f>ROUND(F54-SUM(F42,F47,F52)+F42-(F43+F44+F46)+F47-(F48+F49+F50+F51),3)</f>
        <v>19224443655.869999</v>
      </c>
      <c r="H55" s="272">
        <f>ROUND(H54-SUM(H42,H47,H52,H53)+H42-(H43+H44+H46)+H47-(H48+H49+H50+H51),3)</f>
        <v>19845758513.959999</v>
      </c>
      <c r="K55" s="272">
        <f>ROUND(K54-SUM(K42,K47,K52)+K42-(K43+K44+K46)+K47-(K48+K49+K50+K51),3)</f>
        <v>18623188542.700001</v>
      </c>
      <c r="N55" s="272">
        <f>ROUND(N54-SUM(N42,N47,N52,N53)+N42-(N43+N44+N46)+N47-(N48+N49+N50+N51),3)</f>
        <v>20796567392.200001</v>
      </c>
      <c r="P55" s="272">
        <f>ROUND(P54-SUM(P42,P47,P52,P53)+P42-(P43+P44+P46)+P47-(P48+P49+P50+P51),3)</f>
        <v>19845758513.959999</v>
      </c>
      <c r="R55" s="272">
        <f>ROUND(R54-SUM(R42,R47,R52)+R42-(R43+R44+R46)+R47-(R48+R49+R50+R51),3)</f>
        <v>19936608824.290001</v>
      </c>
      <c r="U55" s="272">
        <f>ROUND(U54-SUM(U42,U47,U52)+U42-(U43+U44+U46)+U47-(U48+U49+U50+U51),3)</f>
        <v>18623188542.700001</v>
      </c>
      <c r="V55" s="156"/>
      <c r="W55" s="272">
        <f>ROUND(W54-SUM(W42,W47,W52)+W42-(W43+W44+W46)+W47-(W48+W49+W50+W51),3)</f>
        <v>19224443655.869999</v>
      </c>
      <c r="X55" s="156"/>
      <c r="Y55" s="272">
        <f>ROUND(Y54-SUM(Y42,Y47,Y52)+Y42-(Y43+Y44+Y46)+Y47-(Y48+Y49+Y50+Y51),3)</f>
        <v>20502618600.470001</v>
      </c>
      <c r="AA55" s="272">
        <f>ROUND(AA54-SUM(AA42,AA47,AA52)+AA42-(AA43+AA44+AA46)+AA47-(AA48+AA49+AA50+AA51),3)</f>
        <v>20059904109.290001</v>
      </c>
      <c r="AD55" s="309">
        <f>ROUND(AD54-SUM(AD42,AD47,AD52)+AD42-(AD43+AD44+AD46)+AD47-(AD48+AD49+AD50+AD51),3)</f>
        <v>18344105712.860001</v>
      </c>
      <c r="AE55" s="309"/>
      <c r="AF55" s="309">
        <f>ROUND(AF54-SUM(AF42,AF47,AF52)+AF42-(AF43+AF44+AF46)+AF47-(AF48+AF49+AF50+AF51),3)</f>
        <v>17653493119.689999</v>
      </c>
      <c r="AG55" s="309"/>
      <c r="AH55" s="309">
        <f>ROUND(AH54-SUM(AH42,AH47,AH52)+AH42-(AH43+AH44+AH46)+AH47-(AH48+AH49+AH50+AH51),3)</f>
        <v>17004906802.280001</v>
      </c>
      <c r="AJ55" s="309">
        <f>ROUND(AJ54-SUM(AJ42,AJ47,AJ52)+AJ42-(AJ43+AJ44+AJ46)+AJ47-(AJ48+AJ49+AJ50+AJ51),3)</f>
        <v>17130909587.9</v>
      </c>
      <c r="AM55" s="309">
        <f>ROUND(AM54-SUM(AM42,AM47,AM52)+AM42-(AM43+AM44+AM46)+AM47-(AM48+AM49+AM50+AM51),3)</f>
        <v>1467853322.1300001</v>
      </c>
      <c r="AO55" s="309">
        <f>ROUND(AO54-SUM(AO42,AO47,AO52)+AO42-(AO43+AO44+AO46)+AO47-(AO48+AO49+AO50+AO51),3)</f>
        <v>1682443787.4300001</v>
      </c>
      <c r="AQ55" s="309">
        <f>ROUND(AQ54-SUM(AQ42,AQ47,AQ52)+AQ42-(AQ43+AQ44+AQ46)+AQ47-(AQ48+AQ49+AQ50+AQ51),3)</f>
        <v>1527404733.49</v>
      </c>
      <c r="AS55" s="309">
        <f>ROUND(AS54-SUM(AS42,AS47,AS52)+AS42-(AS43+AS44+AS46)+AS47-(AS48+AS49+AS50+AS51),3)</f>
        <v>1369582879.3800001</v>
      </c>
    </row>
    <row r="56" spans="1:45" collapsed="1" x14ac:dyDescent="0.2">
      <c r="A56" s="2"/>
      <c r="B56" s="2"/>
      <c r="C56" s="63"/>
      <c r="D56" s="74"/>
      <c r="E56" s="63"/>
    </row>
    <row r="57" spans="1:45" ht="15.6" x14ac:dyDescent="0.3">
      <c r="A57" s="2"/>
      <c r="B57" s="2"/>
      <c r="C57" s="176" t="s">
        <v>219</v>
      </c>
      <c r="D57" s="74"/>
      <c r="E57" s="63"/>
    </row>
    <row r="58" spans="1:45" ht="27.75" customHeight="1" x14ac:dyDescent="0.25">
      <c r="A58" s="172" t="s">
        <v>185</v>
      </c>
      <c r="B58" s="2"/>
      <c r="C58" s="155" t="s">
        <v>127</v>
      </c>
      <c r="D58" s="74"/>
      <c r="E58" s="68" t="str" cm="1">
        <f t="array" ref="E58">"Flows"&amp;" "&amp;"
"&amp;INDEX(TableYtd,MONTH(E$3),2)&amp;YEAR(E$3)</f>
        <v>Flows 
9M 2025</v>
      </c>
      <c r="F58" s="68" t="str" cm="1">
        <f t="array" ref="F58">"Flows"&amp;" "&amp;"
"&amp;INDEX(TableYtd,MONTH(F$3),2)&amp;YEAR(F$3)</f>
        <v>Flows 
9M 2024</v>
      </c>
      <c r="H58" s="68" t="str">
        <f>"Flows"&amp;" "&amp;"
"&amp;"Q"&amp;MONTH(H$3)/3&amp;" "&amp;YEAR(H$3)</f>
        <v>Flows 
Q3 2025</v>
      </c>
      <c r="I58" s="68" t="str">
        <f>"Flows"&amp;" "&amp;"
"&amp;"Q"&amp;MONTH(I$3)/3&amp;" "&amp;YEAR(I$3)</f>
        <v>Flows 
Q3 2024</v>
      </c>
      <c r="K58" s="68" t="str">
        <f>"Flows"&amp;" "&amp;"
"&amp;"Q"&amp;MONTH(K$3)/3&amp;" "&amp;YEAR(K$3)</f>
        <v>Flows 
Q2 2025</v>
      </c>
      <c r="N58" s="68" t="str" cm="1">
        <f t="array" ref="N58">"Flows"&amp;" "&amp;"
"&amp;INDEX(TableYtd,MONTH(N$3),2)&amp;YEAR(N$3)</f>
        <v>Flows 
9M 2025</v>
      </c>
      <c r="O58" s="68" t="str">
        <f>"Flows"&amp;" "&amp;"
"&amp;"Q"&amp;MONTH(O$3)/3&amp;" "&amp;YEAR(O$3)</f>
        <v>Flows 
Q3 2025</v>
      </c>
      <c r="P58" s="68" t="str" cm="1">
        <f t="array" ref="P58">"Flows"&amp;" "&amp;"
"&amp;INDEX(TableYtd,MONTH(P$3),2)&amp;YEAR(P$3)</f>
        <v>Flows 
H1 2025</v>
      </c>
      <c r="Q58" s="68" t="str">
        <f>"Flows"&amp;" "&amp;"
"&amp;"Q"&amp;MONTH(Q$3)/3&amp;" "&amp;YEAR(Q$3)</f>
        <v>Flows 
Q2 2025</v>
      </c>
      <c r="R58" s="68" t="str" cm="1">
        <f t="array" ref="R58">"Flows"&amp;" "&amp;"
"&amp;INDEX(TableYtd,MONTH(R$3),2)&amp;YEAR(R$3)</f>
        <v>Flows 
Q1 2025</v>
      </c>
      <c r="S58" s="68" t="str">
        <f>"Flows"&amp;" "&amp;"
"&amp;"Q"&amp;MONTH(S$3)/3&amp;" "&amp;YEAR(S$3)</f>
        <v>Flows 
Q1 2025</v>
      </c>
      <c r="U58" s="68" t="str" cm="1">
        <f t="array" ref="U58">"Flows"&amp;" "&amp;"
"&amp;INDEX(TableYtd,MONTH(U$3),2)&amp;YEAR(U$3)</f>
        <v>Flows 
FY 2024</v>
      </c>
      <c r="V58" s="68" t="str">
        <f>"Flows"&amp;" "&amp;"
"&amp;"Q"&amp;MONTH(V$3)/3&amp;" "&amp;YEAR(V$3)</f>
        <v>Flows 
Q4 2024</v>
      </c>
      <c r="W58" s="68" t="str" cm="1">
        <f t="array" ref="W58">"Flows"&amp;" "&amp;"
"&amp;INDEX(TableYtd,MONTH(W$3),2)&amp;YEAR(W$3)</f>
        <v>Flows 
9M 2024</v>
      </c>
      <c r="X58" s="68" t="str">
        <f>"Flows"&amp;" "&amp;"
"&amp;"Q"&amp;MONTH(X$3)/3&amp;" "&amp;YEAR(X$3)</f>
        <v>Flows 
Q3 2024</v>
      </c>
      <c r="Y58" s="68" t="str" cm="1">
        <f t="array" ref="Y58">"Flows"&amp;" "&amp;"
"&amp;INDEX(TableYtd,MONTH(Y$3),2)&amp;YEAR(Y$3)</f>
        <v>Flows 
H1 2024</v>
      </c>
      <c r="Z58" s="68" t="str">
        <f>"Flows"&amp;" "&amp;"
"&amp;"Q"&amp;MONTH(Z$3)/3&amp;" "&amp;YEAR(Z$3)</f>
        <v>Flows 
Q2 2024</v>
      </c>
      <c r="AA58" s="68" t="str" cm="1">
        <f t="array" ref="AA58">"Flows"&amp;" "&amp;"
"&amp;INDEX(TableYtd,MONTH(AA$3),2)&amp;YEAR(AA$3)</f>
        <v>Flows 
Q1 2024</v>
      </c>
      <c r="AB58" s="68" t="str">
        <f>"Flows"&amp;" "&amp;"
"&amp;"Q"&amp;MONTH(AB$3)/3&amp;" "&amp;YEAR(AB$3)</f>
        <v>Flows 
Q1 2024</v>
      </c>
      <c r="AD58" s="68" t="str" cm="1">
        <f t="array" ref="AD58">"Flows"&amp;" "&amp;"
"&amp;INDEX(TableYtd,MONTH(AD$3),2)&amp;YEAR(AD$3)</f>
        <v>Flows 
FY 2023</v>
      </c>
      <c r="AE58" s="68" t="str">
        <f>"Flows"&amp;" "&amp;"
"&amp;"Q"&amp;MONTH(AE$3)/3&amp;" "&amp;YEAR(AE$3)</f>
        <v>Flows 
Q4 2023</v>
      </c>
      <c r="AF58" s="68" t="str" cm="1">
        <f t="array" ref="AF58">"Flows"&amp;" "&amp;"
"&amp;INDEX(TableYtd,MONTH(AF$3),2)&amp;YEAR(AF$3)</f>
        <v>Flows 
9M 2023</v>
      </c>
      <c r="AG58" s="68" t="str">
        <f>"Flows"&amp;" "&amp;"
"&amp;"Q"&amp;MONTH(AG$3)/3&amp;" "&amp;YEAR(AG$3)</f>
        <v>Flows 
Q3 2023</v>
      </c>
      <c r="AH58" s="68" t="str" cm="1">
        <f t="array" ref="AH58">"Flows"&amp;" "&amp;"
"&amp;INDEX(TableYtd,MONTH(AH$3),2)&amp;YEAR(AH$3)</f>
        <v>Flows 
H1 2023</v>
      </c>
      <c r="AI58" s="68" t="str">
        <f>"Flows"&amp;" "&amp;"
"&amp;"Q"&amp;MONTH(AI$3)/3&amp;" "&amp;YEAR(AI$3)</f>
        <v>Flows 
Q2 2023</v>
      </c>
      <c r="AJ58" s="68" t="str" cm="1">
        <f t="array" ref="AJ58">"Flows"&amp;" "&amp;"
"&amp;INDEX(TableYtd,MONTH(AJ$3),2)&amp;YEAR(AJ$3)</f>
        <v>Flows 
Q1 2023</v>
      </c>
      <c r="AK58" s="68" t="str">
        <f>"Flows"&amp;" "&amp;"
"&amp;"Q"&amp;MONTH(AK$3)/3&amp;" "&amp;YEAR(AK$3)</f>
        <v>Flows 
Q1 2023</v>
      </c>
      <c r="AM58" s="68" t="str" cm="1">
        <f t="array" ref="AM58">"Flows"&amp;" "&amp;"
"&amp;INDEX(TableYtd,MONTH(AM$3),2)&amp;YEAR(AM$3)</f>
        <v>Flows 
FY 2022</v>
      </c>
      <c r="AN58" s="68" t="str">
        <f>"Flows"&amp;" "&amp;"
"&amp;"Q"&amp;MONTH(AN$3)/3&amp;" "&amp;YEAR(AN$3)</f>
        <v>Flows 
Q4 2022</v>
      </c>
      <c r="AO58" s="68" t="str" cm="1">
        <f t="array" ref="AO58">"Flows"&amp;" "&amp;"
"&amp;INDEX(TableYtd,MONTH(AO$3),2)&amp;YEAR(AO$3)</f>
        <v>Flows 
9M 2022</v>
      </c>
      <c r="AP58" s="68" t="str">
        <f>"Flows"&amp;" "&amp;"
"&amp;"Q"&amp;MONTH(AP$3)/3&amp;" "&amp;YEAR(AP$3)</f>
        <v>Flows 
Q3 2022</v>
      </c>
      <c r="AQ58" s="68" t="str" cm="1">
        <f t="array" ref="AQ58">"Flows"&amp;" "&amp;"
"&amp;INDEX(TableYtd,MONTH(AQ$3),2)&amp;YEAR(AQ$3)</f>
        <v>Flows 
H1 2022</v>
      </c>
      <c r="AR58" s="68" t="str">
        <f>"Flows"&amp;" "&amp;"
"&amp;"Q"&amp;MONTH(AR$3)/3&amp;" "&amp;YEAR(AR$3)</f>
        <v>Flows 
Q2 2022</v>
      </c>
      <c r="AS58" s="68" t="str" cm="1">
        <f t="array" ref="AS58">"Flows"&amp;" "&amp;"
"&amp;INDEX(TableYtd,MONTH(AS$3),2)&amp;YEAR(AS$3)</f>
        <v>Flows 
Q1 2022</v>
      </c>
    </row>
    <row r="59" spans="1:45" ht="15" customHeight="1" x14ac:dyDescent="0.25">
      <c r="A59" s="64" t="s">
        <v>128</v>
      </c>
      <c r="B59" s="51"/>
      <c r="C59" s="90" t="s">
        <v>128</v>
      </c>
      <c r="D59" s="75"/>
      <c r="E59" s="93">
        <v>14924304828.914799</v>
      </c>
      <c r="F59" s="93">
        <v>15063776571.379377</v>
      </c>
      <c r="H59" s="93">
        <v>7724978875.3327446</v>
      </c>
      <c r="I59" s="93">
        <v>6332139137.1211958</v>
      </c>
      <c r="K59" s="93">
        <v>1438536657.6869869</v>
      </c>
      <c r="N59" s="93">
        <v>14924304828.914799</v>
      </c>
      <c r="O59" s="93">
        <v>7724978875.3327446</v>
      </c>
      <c r="P59" s="93">
        <v>7199325953.5820827</v>
      </c>
      <c r="Q59" s="93">
        <v>1438536657.6869869</v>
      </c>
      <c r="R59" s="93">
        <v>5760789295.8950806</v>
      </c>
      <c r="S59" s="93">
        <v>5760789295.8950806</v>
      </c>
      <c r="U59" s="93">
        <v>26550394461.684044</v>
      </c>
      <c r="V59" s="93">
        <v>11486617890.304638</v>
      </c>
      <c r="W59" s="93">
        <v>15063776571.379377</v>
      </c>
      <c r="X59" s="93">
        <v>6332139137.1211958</v>
      </c>
      <c r="Y59" s="93">
        <v>8731637434.2581863</v>
      </c>
      <c r="Z59" s="93">
        <v>2205819616.9141011</v>
      </c>
      <c r="AA59" s="93">
        <v>6525817817.344101</v>
      </c>
      <c r="AB59" s="93">
        <v>6525817817.344101</v>
      </c>
      <c r="AD59" s="93">
        <v>6752111026.8045044</v>
      </c>
      <c r="AE59" s="93">
        <v>1146374811.5345016</v>
      </c>
      <c r="AF59" s="93">
        <v>5605736215.2700071</v>
      </c>
      <c r="AG59" s="93">
        <v>1999857471.9628563</v>
      </c>
      <c r="AH59" s="93">
        <v>3605878743.3071446</v>
      </c>
      <c r="AI59" s="93">
        <v>2148876494.1992302</v>
      </c>
      <c r="AJ59" s="93">
        <v>1457002249.1079233</v>
      </c>
      <c r="AK59" s="93">
        <v>1457002249.1079233</v>
      </c>
      <c r="AM59" s="93">
        <v>9939214812.5884724</v>
      </c>
      <c r="AN59" s="93">
        <v>868105583.38747549</v>
      </c>
      <c r="AO59" s="93">
        <v>9071109229.2009964</v>
      </c>
      <c r="AP59" s="93">
        <v>-2813585565.9346857</v>
      </c>
      <c r="AQ59" s="93">
        <v>11884694795.135681</v>
      </c>
      <c r="AR59" s="93">
        <v>-2260993359.1341848</v>
      </c>
      <c r="AS59" s="93">
        <v>14145688154.269867</v>
      </c>
    </row>
    <row r="60" spans="1:45" ht="15" customHeight="1" x14ac:dyDescent="0.2">
      <c r="A60" s="51" t="s">
        <v>176</v>
      </c>
      <c r="B60" s="51"/>
      <c r="C60" s="86" t="s">
        <v>125</v>
      </c>
      <c r="D60" s="86"/>
      <c r="E60" s="94">
        <v>2030839579.8548067</v>
      </c>
      <c r="F60" s="94">
        <v>261078346.36939934</v>
      </c>
      <c r="H60" s="94">
        <v>2561965215.7927423</v>
      </c>
      <c r="I60" s="94">
        <v>1149510499.001199</v>
      </c>
      <c r="K60" s="94">
        <v>-703168951.71301591</v>
      </c>
      <c r="N60" s="94">
        <v>2030839579.8548067</v>
      </c>
      <c r="O60" s="94">
        <v>2561965215.7927423</v>
      </c>
      <c r="P60" s="94">
        <v>-531125635.93793225</v>
      </c>
      <c r="Q60" s="94">
        <v>-703168951.71301591</v>
      </c>
      <c r="R60" s="94">
        <v>172043315.77508292</v>
      </c>
      <c r="S60" s="94">
        <v>172043315.77508292</v>
      </c>
      <c r="U60" s="94">
        <v>1079506493.3440313</v>
      </c>
      <c r="V60" s="94">
        <v>818428146.97463119</v>
      </c>
      <c r="W60" s="94">
        <v>261078346.36939934</v>
      </c>
      <c r="X60" s="94">
        <v>1149510499.001199</v>
      </c>
      <c r="Y60" s="94">
        <v>-888432152.63179719</v>
      </c>
      <c r="Z60" s="94">
        <v>-2372770214.9558992</v>
      </c>
      <c r="AA60" s="94">
        <v>1484338062.3241003</v>
      </c>
      <c r="AB60" s="94">
        <v>1484338062.3241003</v>
      </c>
      <c r="AD60" s="94">
        <v>5736972794.0744972</v>
      </c>
      <c r="AE60" s="94">
        <v>1098641637.1045015</v>
      </c>
      <c r="AF60" s="94">
        <v>4638331156.9699888</v>
      </c>
      <c r="AG60" s="94">
        <v>858822108.32999992</v>
      </c>
      <c r="AH60" s="94">
        <v>3779509048.6399989</v>
      </c>
      <c r="AI60" s="94">
        <v>1097449878.9900002</v>
      </c>
      <c r="AJ60" s="94">
        <v>2682059169.6500025</v>
      </c>
      <c r="AK60" s="94">
        <v>2682059169.6500025</v>
      </c>
      <c r="AM60" s="94">
        <v>414198856.32685161</v>
      </c>
      <c r="AN60" s="94">
        <v>2189976823.8400059</v>
      </c>
      <c r="AO60" s="94">
        <v>-1775777967.5131543</v>
      </c>
      <c r="AP60" s="94">
        <v>858903984.9859736</v>
      </c>
      <c r="AQ60" s="94">
        <v>-2634681952.4991279</v>
      </c>
      <c r="AR60" s="94">
        <v>-1323367780.3392143</v>
      </c>
      <c r="AS60" s="94">
        <v>-1311314172.1599135</v>
      </c>
    </row>
    <row r="61" spans="1:45" ht="12" x14ac:dyDescent="0.25">
      <c r="A61" s="51" t="s">
        <v>218</v>
      </c>
      <c r="B61" s="51"/>
      <c r="C61" s="86" t="s">
        <v>126</v>
      </c>
      <c r="D61" s="87"/>
      <c r="E61" s="94">
        <v>-8538109152.9099989</v>
      </c>
      <c r="F61" s="94">
        <v>-4376142289.6200047</v>
      </c>
      <c r="H61" s="94">
        <v>-2977293501.4100022</v>
      </c>
      <c r="I61" s="94">
        <v>-1608150187.9200015</v>
      </c>
      <c r="K61" s="94">
        <v>-2888910822.6799998</v>
      </c>
      <c r="N61" s="94">
        <v>-8538109152.9099989</v>
      </c>
      <c r="O61" s="94">
        <v>-2977293501.4100022</v>
      </c>
      <c r="P61" s="94">
        <v>-5560815651.5000029</v>
      </c>
      <c r="Q61" s="94">
        <v>-2888910822.6799998</v>
      </c>
      <c r="R61" s="94">
        <v>-2671904828.8199992</v>
      </c>
      <c r="S61" s="94">
        <v>-2671904828.8199992</v>
      </c>
      <c r="U61" s="94">
        <v>-6456407572.8700075</v>
      </c>
      <c r="V61" s="94">
        <v>-2080265283.2500002</v>
      </c>
      <c r="W61" s="94">
        <v>-4376142289.6200047</v>
      </c>
      <c r="X61" s="94">
        <v>-1608150187.9200015</v>
      </c>
      <c r="Y61" s="94">
        <v>-2767992101.7000022</v>
      </c>
      <c r="Z61" s="94">
        <v>-814850453.02999938</v>
      </c>
      <c r="AA61" s="94">
        <v>-1953141648.6700013</v>
      </c>
      <c r="AB61" s="94">
        <v>-1953141648.6700013</v>
      </c>
      <c r="AD61" s="94">
        <v>-3592130837.079998</v>
      </c>
      <c r="AE61" s="94">
        <v>-434463497.64999896</v>
      </c>
      <c r="AF61" s="94">
        <v>-3157667339.4299955</v>
      </c>
      <c r="AG61" s="94">
        <v>-971915385.97999859</v>
      </c>
      <c r="AH61" s="94">
        <v>-2185751953.4500036</v>
      </c>
      <c r="AI61" s="94">
        <v>-577407800.89999914</v>
      </c>
      <c r="AJ61" s="94">
        <v>-1608344152.5500019</v>
      </c>
      <c r="AK61" s="94">
        <v>-1608344152.5500019</v>
      </c>
      <c r="AM61" s="94">
        <v>77625372.289992094</v>
      </c>
      <c r="AN61" s="94">
        <v>-1176919963.3100057</v>
      </c>
      <c r="AO61" s="94">
        <v>1254545335.5999978</v>
      </c>
      <c r="AP61" s="94">
        <v>-333866444.52000332</v>
      </c>
      <c r="AQ61" s="94">
        <v>1588411780.1200011</v>
      </c>
      <c r="AR61" s="94">
        <v>-1936790154.5600002</v>
      </c>
      <c r="AS61" s="94">
        <v>3525201934.6800013</v>
      </c>
    </row>
    <row r="62" spans="1:45" x14ac:dyDescent="0.2">
      <c r="A62" s="65" t="s">
        <v>177</v>
      </c>
      <c r="B62" s="51"/>
      <c r="C62" s="98" t="s">
        <v>131</v>
      </c>
      <c r="D62" s="88"/>
      <c r="E62" s="162">
        <v>1592571319.1400001</v>
      </c>
      <c r="F62" s="162">
        <v>-531520858.54000008</v>
      </c>
      <c r="H62" s="162">
        <v>613963614.01999998</v>
      </c>
      <c r="I62" s="162">
        <v>-674304208.2299999</v>
      </c>
      <c r="K62" s="162">
        <v>691028139.05999994</v>
      </c>
      <c r="N62" s="162">
        <v>1592571319.1400001</v>
      </c>
      <c r="O62" s="356">
        <v>613963614.01999998</v>
      </c>
      <c r="P62" s="162">
        <v>978607705.12</v>
      </c>
      <c r="Q62" s="162">
        <v>691028139.05999994</v>
      </c>
      <c r="R62" s="162">
        <v>287579566.06000006</v>
      </c>
      <c r="S62" s="162">
        <v>287579566.06000006</v>
      </c>
      <c r="T62" s="175"/>
      <c r="U62" s="162">
        <v>-1171548745.7399991</v>
      </c>
      <c r="V62" s="162">
        <v>-640027887.20000005</v>
      </c>
      <c r="W62" s="162">
        <v>-531520858.54000008</v>
      </c>
      <c r="X62" s="162">
        <v>-674304208.2299999</v>
      </c>
      <c r="Y62" s="162">
        <v>142783349.68999994</v>
      </c>
      <c r="Z62" s="162">
        <v>360774132.89999998</v>
      </c>
      <c r="AA62" s="162">
        <v>-217990783.20999998</v>
      </c>
      <c r="AB62" s="162">
        <v>-217990783.20999998</v>
      </c>
      <c r="AC62" s="175"/>
      <c r="AD62" s="162">
        <v>-3697409394.3600001</v>
      </c>
      <c r="AE62" s="162">
        <v>-427435324.44999999</v>
      </c>
      <c r="AF62" s="162">
        <v>-3269974069.9099998</v>
      </c>
      <c r="AG62" s="162">
        <v>-462836585.01999998</v>
      </c>
      <c r="AH62" s="162">
        <v>-2807137484.8899999</v>
      </c>
      <c r="AI62" s="162">
        <v>2751193.4900000095</v>
      </c>
      <c r="AJ62" s="162">
        <v>-2809888678.3800001</v>
      </c>
      <c r="AK62" s="162">
        <v>-2809888678.3800001</v>
      </c>
      <c r="AL62" s="175"/>
      <c r="AM62" s="162">
        <v>-3852259108.29</v>
      </c>
      <c r="AN62" s="162">
        <v>-2379049045.9299998</v>
      </c>
      <c r="AO62" s="162">
        <v>-1473210062.3600001</v>
      </c>
      <c r="AP62" s="162">
        <v>-1755820187.9700003</v>
      </c>
      <c r="AQ62" s="162">
        <v>282610125.61000013</v>
      </c>
      <c r="AR62" s="162">
        <v>-2050471438.96</v>
      </c>
      <c r="AS62" s="162">
        <v>2333081564.5700002</v>
      </c>
    </row>
    <row r="63" spans="1:45" x14ac:dyDescent="0.2">
      <c r="A63" s="51" t="s">
        <v>178</v>
      </c>
      <c r="B63" s="51"/>
      <c r="C63" s="86" t="s">
        <v>132</v>
      </c>
      <c r="D63" s="86"/>
      <c r="E63" s="94">
        <v>21431574401.96999</v>
      </c>
      <c r="F63" s="94">
        <v>19178840514.629982</v>
      </c>
      <c r="H63" s="94">
        <v>8140307160.9500046</v>
      </c>
      <c r="I63" s="94">
        <v>6790778826.0399981</v>
      </c>
      <c r="K63" s="94">
        <v>5030616432.0800028</v>
      </c>
      <c r="N63" s="94">
        <v>21431574401.96999</v>
      </c>
      <c r="O63" s="94">
        <v>8140307160.9500046</v>
      </c>
      <c r="P63" s="94">
        <v>13291267241.020018</v>
      </c>
      <c r="Q63" s="94">
        <v>5030616432.0800028</v>
      </c>
      <c r="R63" s="94">
        <v>8260650808.9399967</v>
      </c>
      <c r="S63" s="94">
        <v>8260650808.9399967</v>
      </c>
      <c r="U63" s="94">
        <v>31927295541.210018</v>
      </c>
      <c r="V63" s="94">
        <v>12748455026.580008</v>
      </c>
      <c r="W63" s="94">
        <v>19178840514.629982</v>
      </c>
      <c r="X63" s="94">
        <v>6790778826.0399981</v>
      </c>
      <c r="Y63" s="94">
        <v>12388061688.589985</v>
      </c>
      <c r="Z63" s="94">
        <v>5393440284.8999996</v>
      </c>
      <c r="AA63" s="94">
        <v>6994621403.6900015</v>
      </c>
      <c r="AB63" s="94">
        <v>6994621403.6900015</v>
      </c>
      <c r="AD63" s="94">
        <v>4607269069.8100042</v>
      </c>
      <c r="AE63" s="94">
        <v>482196672.07999915</v>
      </c>
      <c r="AF63" s="94">
        <v>4125072397.7300138</v>
      </c>
      <c r="AG63" s="94">
        <v>2112950749.612855</v>
      </c>
      <c r="AH63" s="94">
        <v>2012121648.1171494</v>
      </c>
      <c r="AI63" s="94">
        <v>1628834416.1092288</v>
      </c>
      <c r="AJ63" s="94">
        <v>383287232.00792295</v>
      </c>
      <c r="AK63" s="94">
        <v>383287232.00792295</v>
      </c>
      <c r="AM63" s="94">
        <v>9447390583.9716282</v>
      </c>
      <c r="AN63" s="94">
        <v>-144951277.14252472</v>
      </c>
      <c r="AO63" s="94">
        <v>9592341861.1141529</v>
      </c>
      <c r="AP63" s="94">
        <v>-3338623106.4006557</v>
      </c>
      <c r="AQ63" s="94">
        <v>12930964967.514809</v>
      </c>
      <c r="AR63" s="94">
        <v>999164575.76502991</v>
      </c>
      <c r="AS63" s="94">
        <v>11931800391.749779</v>
      </c>
    </row>
    <row r="64" spans="1:45" ht="15" customHeight="1" x14ac:dyDescent="0.2">
      <c r="A64" s="173" t="s">
        <v>179</v>
      </c>
      <c r="B64" s="51"/>
      <c r="C64" s="90" t="s">
        <v>129</v>
      </c>
      <c r="D64" s="74"/>
      <c r="E64" s="93">
        <v>34489212900.231812</v>
      </c>
      <c r="F64" s="93">
        <v>-1427796946.3507211</v>
      </c>
      <c r="H64" s="93">
        <v>3309942702.1659594</v>
      </c>
      <c r="I64" s="93">
        <v>-8688514223.8937111</v>
      </c>
      <c r="K64" s="93">
        <v>8730564416.0118523</v>
      </c>
      <c r="N64" s="93">
        <v>34489212900.231812</v>
      </c>
      <c r="O64" s="93">
        <v>3309942702.1659594</v>
      </c>
      <c r="P64" s="93">
        <v>31179270198.065849</v>
      </c>
      <c r="Q64" s="93">
        <v>8730564416.0118523</v>
      </c>
      <c r="R64" s="93">
        <v>22448705782.05402</v>
      </c>
      <c r="S64" s="93">
        <v>22448705782.05402</v>
      </c>
      <c r="U64" s="93">
        <v>5625612144.1126785</v>
      </c>
      <c r="V64" s="93">
        <v>7053409090.4633484</v>
      </c>
      <c r="W64" s="93">
        <v>-1427796946.3507211</v>
      </c>
      <c r="X64" s="93">
        <v>-8688514223.8937111</v>
      </c>
      <c r="Y64" s="93">
        <v>7260717277.5430012</v>
      </c>
      <c r="Z64" s="93">
        <v>1673260399.3499417</v>
      </c>
      <c r="AA64" s="93">
        <v>5587456878.1931181</v>
      </c>
      <c r="AB64" s="93">
        <v>5587456878.1931181</v>
      </c>
      <c r="AD64" s="93">
        <v>12045197887.138634</v>
      </c>
      <c r="AE64" s="93">
        <v>12034840438.256805</v>
      </c>
      <c r="AF64" s="93">
        <v>10357448.881872177</v>
      </c>
      <c r="AG64" s="93">
        <v>9316169613.5532894</v>
      </c>
      <c r="AH64" s="93">
        <v>-9305812164.6715279</v>
      </c>
      <c r="AI64" s="93">
        <v>2441503862.7662568</v>
      </c>
      <c r="AJ64" s="93">
        <v>-11747316027.437778</v>
      </c>
      <c r="AK64" s="93">
        <v>-11747316027.437778</v>
      </c>
      <c r="AM64" s="93">
        <v>-16993605340.401085</v>
      </c>
      <c r="AN64" s="93">
        <v>20245790188.985558</v>
      </c>
      <c r="AO64" s="93">
        <v>-37239395529.386642</v>
      </c>
      <c r="AP64" s="93">
        <v>-8788908890.0171776</v>
      </c>
      <c r="AQ64" s="93">
        <v>-28450486639.369461</v>
      </c>
      <c r="AR64" s="93">
        <v>-9062644322.1520977</v>
      </c>
      <c r="AS64" s="93">
        <v>-19387842317.217361</v>
      </c>
    </row>
    <row r="65" spans="1:45" ht="15" customHeight="1" x14ac:dyDescent="0.2">
      <c r="A65" s="66" t="s">
        <v>180</v>
      </c>
      <c r="B65" s="51"/>
      <c r="C65" s="86" t="s">
        <v>122</v>
      </c>
      <c r="D65" s="86"/>
      <c r="E65" s="94">
        <v>24312396108.485325</v>
      </c>
      <c r="F65" s="94">
        <v>1387535246.2309308</v>
      </c>
      <c r="H65" s="94">
        <v>-7479164105.6206341</v>
      </c>
      <c r="I65" s="94">
        <v>-9315919270.1778336</v>
      </c>
      <c r="K65" s="94">
        <v>1687682016.6408544</v>
      </c>
      <c r="N65" s="94">
        <v>24312396108.485325</v>
      </c>
      <c r="O65" s="94">
        <v>-7479164105.6206341</v>
      </c>
      <c r="P65" s="94">
        <v>31791560214.105972</v>
      </c>
      <c r="Q65" s="94">
        <v>1687682016.6408544</v>
      </c>
      <c r="R65" s="94">
        <v>30103878197.46513</v>
      </c>
      <c r="S65" s="94">
        <v>30103878197.46513</v>
      </c>
      <c r="U65" s="94">
        <v>691260407.01428604</v>
      </c>
      <c r="V65" s="94">
        <v>-696274839.21668434</v>
      </c>
      <c r="W65" s="94">
        <v>1387535246.2309308</v>
      </c>
      <c r="X65" s="94">
        <v>-9315919270.1778336</v>
      </c>
      <c r="Y65" s="94">
        <v>10703454516.408775</v>
      </c>
      <c r="Z65" s="94">
        <v>1052035074.6697464</v>
      </c>
      <c r="AA65" s="94">
        <v>9651419441.739069</v>
      </c>
      <c r="AB65" s="94">
        <v>9651419441.739069</v>
      </c>
      <c r="AD65" s="94">
        <v>12850321647.333437</v>
      </c>
      <c r="AE65" s="94">
        <v>-1555154511.3327107</v>
      </c>
      <c r="AF65" s="94">
        <v>14405476158.666145</v>
      </c>
      <c r="AG65" s="94">
        <v>17936986787.58062</v>
      </c>
      <c r="AH65" s="94">
        <v>-3531510628.914494</v>
      </c>
      <c r="AI65" s="94">
        <v>-4515152983.614543</v>
      </c>
      <c r="AJ65" s="94">
        <v>983642354.70005608</v>
      </c>
      <c r="AK65" s="94">
        <v>983642354.70005608</v>
      </c>
      <c r="AM65" s="94">
        <v>-8171402170.6651468</v>
      </c>
      <c r="AN65" s="94">
        <v>7291443586.2186346</v>
      </c>
      <c r="AO65" s="94">
        <v>-15462845756.883781</v>
      </c>
      <c r="AP65" s="94">
        <v>-4736581300.0617237</v>
      </c>
      <c r="AQ65" s="94">
        <v>-10726264456.822058</v>
      </c>
      <c r="AR65" s="94">
        <v>-7755508713.9851418</v>
      </c>
      <c r="AS65" s="94">
        <v>-2970755742.836916</v>
      </c>
    </row>
    <row r="66" spans="1:45" x14ac:dyDescent="0.2">
      <c r="A66" s="66" t="s">
        <v>181</v>
      </c>
      <c r="B66" s="51"/>
      <c r="C66" s="86" t="s">
        <v>123</v>
      </c>
      <c r="D66" s="86"/>
      <c r="E66" s="94">
        <v>-7000302653.619998</v>
      </c>
      <c r="F66" s="94">
        <v>-5785962519.9300032</v>
      </c>
      <c r="H66" s="94">
        <v>7000420035.0400009</v>
      </c>
      <c r="I66" s="94">
        <v>2326737783.2299986</v>
      </c>
      <c r="K66" s="94">
        <v>-3699517798.130002</v>
      </c>
      <c r="N66" s="94">
        <v>-7000302653.619998</v>
      </c>
      <c r="O66" s="94">
        <v>7000420035.0400009</v>
      </c>
      <c r="P66" s="94">
        <v>-14000722688.660009</v>
      </c>
      <c r="Q66" s="94">
        <v>-3699517798.130002</v>
      </c>
      <c r="R66" s="94">
        <v>-10301204890.530003</v>
      </c>
      <c r="S66" s="94">
        <v>-10301204890.530003</v>
      </c>
      <c r="U66" s="94">
        <v>2766401407.0200009</v>
      </c>
      <c r="V66" s="94">
        <v>8552363926.949995</v>
      </c>
      <c r="W66" s="94">
        <v>-5785962519.9300032</v>
      </c>
      <c r="X66" s="94">
        <v>2326737783.2299986</v>
      </c>
      <c r="Y66" s="94">
        <v>-8112700303.1600065</v>
      </c>
      <c r="Z66" s="94">
        <v>-3946575850.0799966</v>
      </c>
      <c r="AA66" s="94">
        <v>-4166124453.079999</v>
      </c>
      <c r="AB66" s="94">
        <v>-4166124453.079999</v>
      </c>
      <c r="AD66" s="94">
        <v>2659439786.0899982</v>
      </c>
      <c r="AE66" s="94">
        <v>10059395538.869989</v>
      </c>
      <c r="AF66" s="94">
        <v>-7399955752.7799997</v>
      </c>
      <c r="AG66" s="94">
        <v>-3817231547.5300002</v>
      </c>
      <c r="AH66" s="94">
        <v>-3582724205.2499981</v>
      </c>
      <c r="AI66" s="94">
        <v>4267525210.7900009</v>
      </c>
      <c r="AJ66" s="94">
        <v>-7850249416.0399981</v>
      </c>
      <c r="AK66" s="94">
        <v>-7850249416.0399981</v>
      </c>
      <c r="AM66" s="94">
        <v>-2351844736.2799988</v>
      </c>
      <c r="AN66" s="94">
        <v>18226220906.010006</v>
      </c>
      <c r="AO66" s="94">
        <v>-20578065642.290005</v>
      </c>
      <c r="AP66" s="94">
        <v>-1680393912.239994</v>
      </c>
      <c r="AQ66" s="94">
        <v>-18897671730.050011</v>
      </c>
      <c r="AR66" s="94">
        <v>-5532325572.7600079</v>
      </c>
      <c r="AS66" s="94">
        <v>-13365346157.290003</v>
      </c>
    </row>
    <row r="67" spans="1:45" x14ac:dyDescent="0.2">
      <c r="A67" s="66" t="s">
        <v>182</v>
      </c>
      <c r="B67" s="51"/>
      <c r="C67" s="86" t="s">
        <v>236</v>
      </c>
      <c r="D67" s="86"/>
      <c r="E67" s="94">
        <v>3671978305.1864901</v>
      </c>
      <c r="F67" s="94">
        <v>2467562749.9783511</v>
      </c>
      <c r="H67" s="94">
        <v>-286703805.35380667</v>
      </c>
      <c r="I67" s="94">
        <v>-460542183.30588472</v>
      </c>
      <c r="K67" s="94">
        <v>4870776628.5914011</v>
      </c>
      <c r="N67" s="94">
        <v>3671978305.1864901</v>
      </c>
      <c r="O67" s="94">
        <v>-286703805.35380667</v>
      </c>
      <c r="P67" s="94">
        <v>3958682110.5402918</v>
      </c>
      <c r="Q67" s="94">
        <v>4870776628.5914011</v>
      </c>
      <c r="R67" s="94">
        <v>-912094518.05110538</v>
      </c>
      <c r="S67" s="94">
        <v>-912094518.05110538</v>
      </c>
      <c r="U67" s="94">
        <v>3144540276.8088808</v>
      </c>
      <c r="V67" s="94">
        <v>676977526.83053184</v>
      </c>
      <c r="W67" s="94">
        <v>2467562749.9783511</v>
      </c>
      <c r="X67" s="94">
        <v>-460542183.30588472</v>
      </c>
      <c r="Y67" s="94">
        <v>2928104933.2842402</v>
      </c>
      <c r="Z67" s="94">
        <v>3798453307.9401855</v>
      </c>
      <c r="AA67" s="94">
        <v>-870348374.65594554</v>
      </c>
      <c r="AB67" s="94">
        <v>-870348374.65594554</v>
      </c>
      <c r="AD67" s="94">
        <v>1892469972.4851999</v>
      </c>
      <c r="AE67" s="94">
        <v>-734635103.03047204</v>
      </c>
      <c r="AF67" s="94">
        <v>2627105075.5156751</v>
      </c>
      <c r="AG67" s="94">
        <v>-931261278.88729095</v>
      </c>
      <c r="AH67" s="94">
        <v>3558366354.4029636</v>
      </c>
      <c r="AI67" s="94">
        <v>4148762955.2708015</v>
      </c>
      <c r="AJ67" s="94">
        <v>-590396600.86783886</v>
      </c>
      <c r="AK67" s="94">
        <v>-590396600.86783886</v>
      </c>
      <c r="AM67" s="94">
        <v>1229604167.0040643</v>
      </c>
      <c r="AN67" s="94">
        <v>-580182526.59308338</v>
      </c>
      <c r="AO67" s="94">
        <v>1809786693.5971477</v>
      </c>
      <c r="AP67" s="94">
        <v>-199573708.64545965</v>
      </c>
      <c r="AQ67" s="94">
        <v>2009360402.2426074</v>
      </c>
      <c r="AR67" s="94">
        <v>3354173066.5586987</v>
      </c>
      <c r="AS67" s="94">
        <v>-1344812664.3160913</v>
      </c>
    </row>
    <row r="68" spans="1:45" x14ac:dyDescent="0.2">
      <c r="A68" s="66" t="s">
        <v>183</v>
      </c>
      <c r="B68" s="51"/>
      <c r="C68" s="86" t="s">
        <v>237</v>
      </c>
      <c r="D68" s="86"/>
      <c r="E68" s="94">
        <v>13505141140.18</v>
      </c>
      <c r="F68" s="94">
        <v>503067577.36999971</v>
      </c>
      <c r="H68" s="94">
        <v>4075390578.1004047</v>
      </c>
      <c r="I68" s="94">
        <v>-1238790553.6399996</v>
      </c>
      <c r="K68" s="94">
        <v>5871623568.9095936</v>
      </c>
      <c r="N68" s="94">
        <v>13505141140.18</v>
      </c>
      <c r="O68" s="94">
        <v>4075390578.1004047</v>
      </c>
      <c r="P68" s="94">
        <v>9429750562.0795956</v>
      </c>
      <c r="Q68" s="94">
        <v>5871623568.9095936</v>
      </c>
      <c r="R68" s="94">
        <v>3558126993.1699996</v>
      </c>
      <c r="S68" s="94">
        <v>3558126993.1699996</v>
      </c>
      <c r="U68" s="94">
        <v>-976589946.73050106</v>
      </c>
      <c r="V68" s="94">
        <v>-1479657524.1005003</v>
      </c>
      <c r="W68" s="94">
        <v>503067577.36999971</v>
      </c>
      <c r="X68" s="94">
        <v>-1238790553.6399996</v>
      </c>
      <c r="Y68" s="94">
        <v>1741858131.0100002</v>
      </c>
      <c r="Z68" s="94">
        <v>769347866.82000053</v>
      </c>
      <c r="AA68" s="94">
        <v>972510264.18999982</v>
      </c>
      <c r="AB68" s="94">
        <v>972510264.18999982</v>
      </c>
      <c r="AD68" s="94">
        <v>-5357033518.7700014</v>
      </c>
      <c r="AE68" s="94">
        <v>4265234513.749999</v>
      </c>
      <c r="AF68" s="94">
        <v>-9622268032.5199986</v>
      </c>
      <c r="AG68" s="94">
        <v>-3872324347.6100001</v>
      </c>
      <c r="AH68" s="94">
        <v>-5749943684.9099998</v>
      </c>
      <c r="AI68" s="94">
        <v>-1459631319.6800008</v>
      </c>
      <c r="AJ68" s="94">
        <v>-4290312365.2299991</v>
      </c>
      <c r="AK68" s="94">
        <v>-4290312365.2299991</v>
      </c>
      <c r="AM68" s="94">
        <v>-7699962600.46</v>
      </c>
      <c r="AN68" s="94">
        <v>-4691691776.6499996</v>
      </c>
      <c r="AO68" s="94">
        <v>-3008270823.8100004</v>
      </c>
      <c r="AP68" s="94">
        <v>-2172359969.0700006</v>
      </c>
      <c r="AQ68" s="94">
        <v>-835910854.73999989</v>
      </c>
      <c r="AR68" s="94">
        <v>871016898.03435242</v>
      </c>
      <c r="AS68" s="94">
        <v>-1706927752.7743523</v>
      </c>
    </row>
    <row r="69" spans="1:45" ht="15" customHeight="1" x14ac:dyDescent="0.2">
      <c r="A69" s="173" t="s">
        <v>143</v>
      </c>
      <c r="B69" s="51"/>
      <c r="C69" s="90" t="s">
        <v>124</v>
      </c>
      <c r="D69" s="74"/>
      <c r="E69" s="93">
        <v>17853141436.599998</v>
      </c>
      <c r="F69" s="93">
        <v>21342530364.23</v>
      </c>
      <c r="H69" s="93">
        <v>4645168214.9100008</v>
      </c>
      <c r="I69" s="93">
        <v>5264253576.5999994</v>
      </c>
      <c r="K69" s="93">
        <v>10282504600.150002</v>
      </c>
      <c r="N69" s="93">
        <v>17853141436.599998</v>
      </c>
      <c r="O69" s="93">
        <v>4645168214.9100008</v>
      </c>
      <c r="P69" s="93">
        <v>13207973221.690002</v>
      </c>
      <c r="Q69" s="93">
        <v>10282504600.150002</v>
      </c>
      <c r="R69" s="93">
        <v>2925468621.5400009</v>
      </c>
      <c r="S69" s="93">
        <v>2925468621.5400009</v>
      </c>
      <c r="U69" s="93">
        <v>23267873486.099995</v>
      </c>
      <c r="V69" s="93">
        <v>1925343121.8699985</v>
      </c>
      <c r="W69" s="93">
        <v>21342530364.23</v>
      </c>
      <c r="X69" s="93">
        <v>5264253576.5999994</v>
      </c>
      <c r="Y69" s="93">
        <v>16078276787.630003</v>
      </c>
      <c r="Z69" s="93">
        <v>11586923683.800003</v>
      </c>
      <c r="AA69" s="93">
        <v>4491353103.829999</v>
      </c>
      <c r="AB69" s="93">
        <v>4491353103.829999</v>
      </c>
      <c r="AD69" s="93">
        <v>7023308295.9900017</v>
      </c>
      <c r="AE69" s="93">
        <v>6313022712.7099981</v>
      </c>
      <c r="AF69" s="93">
        <v>710285583.27999961</v>
      </c>
      <c r="AG69" s="93">
        <v>2411811206.2699995</v>
      </c>
      <c r="AH69" s="93">
        <v>-1701525622.990001</v>
      </c>
      <c r="AI69" s="93">
        <v>-934167499.21999919</v>
      </c>
      <c r="AJ69" s="93">
        <v>-767358123.76999938</v>
      </c>
      <c r="AK69" s="93">
        <v>-767358123.76999938</v>
      </c>
      <c r="AM69" s="93">
        <v>14039597157.120008</v>
      </c>
      <c r="AN69" s="93">
        <v>-6162141651.0099773</v>
      </c>
      <c r="AO69" s="93">
        <v>20201738808.129986</v>
      </c>
      <c r="AP69" s="93">
        <v>-1346071976.7000008</v>
      </c>
      <c r="AQ69" s="93">
        <v>21547810784.829987</v>
      </c>
      <c r="AR69" s="93">
        <v>13102231286.469986</v>
      </c>
      <c r="AS69" s="93">
        <v>8445579498.3599997</v>
      </c>
    </row>
    <row r="70" spans="1:45" ht="15" customHeight="1" x14ac:dyDescent="0.2">
      <c r="A70" s="173" t="s">
        <v>292</v>
      </c>
      <c r="B70" s="51"/>
      <c r="C70" s="90" t="s">
        <v>296</v>
      </c>
      <c r="D70" s="74"/>
      <c r="E70" s="93">
        <v>-617576376.74813557</v>
      </c>
      <c r="F70" s="93">
        <v>0</v>
      </c>
      <c r="H70" s="93">
        <v>-592446026.76021588</v>
      </c>
      <c r="I70" s="93">
        <v>0</v>
      </c>
      <c r="K70" s="93">
        <v>-25130349.987919461</v>
      </c>
      <c r="N70" s="93">
        <v>-617576376.74813557</v>
      </c>
      <c r="O70" s="93">
        <v>-592446026.76021588</v>
      </c>
      <c r="P70" s="93">
        <v>-25130349.987919461</v>
      </c>
      <c r="Q70" s="93">
        <v>-25130349.987919461</v>
      </c>
      <c r="R70" s="93"/>
      <c r="S70" s="93">
        <v>0</v>
      </c>
      <c r="U70" s="93">
        <v>0</v>
      </c>
      <c r="V70" s="93">
        <v>0</v>
      </c>
      <c r="W70" s="93">
        <v>0</v>
      </c>
      <c r="X70" s="93">
        <v>0</v>
      </c>
      <c r="Y70" s="93">
        <v>0</v>
      </c>
      <c r="Z70" s="93">
        <v>0</v>
      </c>
      <c r="AA70" s="93">
        <v>0</v>
      </c>
      <c r="AB70" s="93">
        <v>0</v>
      </c>
      <c r="AD70" s="93">
        <v>0</v>
      </c>
      <c r="AE70" s="93">
        <v>0</v>
      </c>
      <c r="AF70" s="93">
        <v>0</v>
      </c>
      <c r="AG70" s="93">
        <v>0</v>
      </c>
      <c r="AH70" s="93">
        <v>0</v>
      </c>
      <c r="AI70" s="93">
        <v>0</v>
      </c>
      <c r="AJ70" s="93">
        <v>0</v>
      </c>
      <c r="AK70" s="93">
        <v>0</v>
      </c>
      <c r="AM70" s="93">
        <v>0</v>
      </c>
      <c r="AN70" s="93">
        <v>0</v>
      </c>
      <c r="AO70" s="93">
        <v>0</v>
      </c>
      <c r="AP70" s="93">
        <v>0</v>
      </c>
      <c r="AQ70" s="93">
        <v>0</v>
      </c>
      <c r="AR70" s="93">
        <v>0</v>
      </c>
      <c r="AS70" s="93">
        <v>0</v>
      </c>
    </row>
    <row r="71" spans="1:45" ht="18" customHeight="1" x14ac:dyDescent="0.2">
      <c r="A71" s="64" t="s">
        <v>184</v>
      </c>
      <c r="B71" s="51"/>
      <c r="C71" s="113" t="s">
        <v>130</v>
      </c>
      <c r="D71" s="86"/>
      <c r="E71" s="91">
        <v>66649082788.998474</v>
      </c>
      <c r="F71" s="91">
        <v>34978509989.258652</v>
      </c>
      <c r="H71" s="91">
        <v>15087643765.648487</v>
      </c>
      <c r="I71" s="91">
        <v>2907878489.8274832</v>
      </c>
      <c r="K71" s="91">
        <v>20426475323.86092</v>
      </c>
      <c r="N71" s="91">
        <v>66649082788.998474</v>
      </c>
      <c r="O71" s="91">
        <v>15087643765.648487</v>
      </c>
      <c r="P71" s="91">
        <v>51561439023.350006</v>
      </c>
      <c r="Q71" s="91">
        <v>20426475323.86092</v>
      </c>
      <c r="R71" s="91">
        <v>31134963699.489098</v>
      </c>
      <c r="S71" s="91">
        <v>31134963699.489098</v>
      </c>
      <c r="U71" s="91">
        <v>55443880091.896721</v>
      </c>
      <c r="V71" s="91">
        <v>20465370102.637985</v>
      </c>
      <c r="W71" s="91">
        <v>34978509989.258652</v>
      </c>
      <c r="X71" s="91">
        <v>2907878489.8274832</v>
      </c>
      <c r="Y71" s="91">
        <v>32070631499.43119</v>
      </c>
      <c r="Z71" s="91">
        <v>15466003700.064047</v>
      </c>
      <c r="AA71" s="91">
        <v>16604627799.367222</v>
      </c>
      <c r="AB71" s="91">
        <v>16604627799.367222</v>
      </c>
      <c r="AD71" s="91">
        <v>25820617209.933136</v>
      </c>
      <c r="AE71" s="91">
        <v>19494237962.501308</v>
      </c>
      <c r="AF71" s="91">
        <v>6326379247.43188</v>
      </c>
      <c r="AG71" s="91">
        <v>13727838291.786144</v>
      </c>
      <c r="AH71" s="91">
        <v>-7401459044.3543835</v>
      </c>
      <c r="AI71" s="91">
        <v>3656212857.7454872</v>
      </c>
      <c r="AJ71" s="91">
        <v>-11057671902.099854</v>
      </c>
      <c r="AK71" s="91">
        <v>-11057671902.099854</v>
      </c>
      <c r="AM71" s="91">
        <v>6985206629.3074055</v>
      </c>
      <c r="AN71" s="91">
        <v>14951754121.363073</v>
      </c>
      <c r="AO71" s="91">
        <v>-7966547492.0556679</v>
      </c>
      <c r="AP71" s="91">
        <v>-12948566432.651888</v>
      </c>
      <c r="AQ71" s="91">
        <v>4982018940.59622</v>
      </c>
      <c r="AR71" s="91">
        <v>1778593605.1837215</v>
      </c>
      <c r="AS71" s="91">
        <v>3203425335.4124985</v>
      </c>
    </row>
    <row r="72" spans="1:45" hidden="1" outlineLevel="1" x14ac:dyDescent="0.2">
      <c r="A72" s="2"/>
      <c r="B72" s="2"/>
      <c r="C72" s="63"/>
      <c r="D72" s="74"/>
      <c r="E72" s="272">
        <f>ROUND(E71-SUM(E59,E64,E69,E70)+E59-(E60+E61+E63)+E64-(E65+E66+E67+E68),3)</f>
        <v>0</v>
      </c>
      <c r="F72" s="272">
        <f>ROUND(F71-SUM(F59,F64,F69)+F59-(F60+F61+F63)+F64-(F65+F66+F67+F68),3)</f>
        <v>0</v>
      </c>
      <c r="H72" s="272">
        <f>ROUND(H71-SUM(H59,H64,H69,H70)+H59-(H60+H61+H63)+H64-(H65+H66+H67+H68),3)</f>
        <v>0</v>
      </c>
      <c r="I72" s="272">
        <f>ROUND(I71-SUM(I59,I64,I69)+I59-(I60+I61+I63)+I64-(I65+I66+I67+I68),3)</f>
        <v>0</v>
      </c>
      <c r="K72" s="272">
        <f>ROUND(K71-SUM(K59,K64,K69)+K59-(K60+K61+K63)+K64-(K65+K66+K67+K68),3)</f>
        <v>-25130349.988000002</v>
      </c>
      <c r="N72" s="272">
        <f>ROUND(N71-SUM(N59,N64,N69,N70)+N59-(N60+N61+N63)+N64-(N65+N66+N67+N68),3)</f>
        <v>0</v>
      </c>
      <c r="O72" s="357">
        <f>ROUND(O71-SUM(O59,O64,O69,O70)+O59-(O60+O61+O63)+O64-(O65+O66+O67+O68),3)</f>
        <v>0</v>
      </c>
      <c r="P72" s="272">
        <f>ROUND(P71-SUM(P59,P64,P69,P70)+P59-(P60+P61+P63)+P64-(P65+P66+P67+P68),3)</f>
        <v>0</v>
      </c>
      <c r="Q72" s="272">
        <f>ROUND(Q71-SUM(Q59,Q64,Q69,Q70)+Q59-(Q60+Q61+Q63)+Q64-(Q65+Q66+Q67+Q68),3)</f>
        <v>0</v>
      </c>
      <c r="R72" s="272">
        <f t="shared" ref="R72:S72" si="31">ROUND(R71-SUM(R59,R64,R69)+R59-(R60+R61+R63)+R64-(R65+R66+R67+R68),3)</f>
        <v>0</v>
      </c>
      <c r="S72" s="272">
        <f t="shared" si="31"/>
        <v>0</v>
      </c>
      <c r="U72" s="272">
        <f>ROUND(U71-SUM(U59,U64,U69)+U59-(U60+U61+U63)+U64-(U65+U66+U67+U68),3)</f>
        <v>0</v>
      </c>
      <c r="V72" s="272">
        <f t="shared" ref="V72:AB72" si="32">ROUND(V71-SUM(V59,V64,V69)+V59-(V60+V61+V63)+V64-(V65+V66+V67+V68),3)</f>
        <v>0</v>
      </c>
      <c r="W72" s="272">
        <f t="shared" si="32"/>
        <v>0</v>
      </c>
      <c r="X72" s="272">
        <f t="shared" si="32"/>
        <v>0</v>
      </c>
      <c r="Y72" s="272">
        <f t="shared" si="32"/>
        <v>0</v>
      </c>
      <c r="Z72" s="272">
        <f t="shared" ref="Z72" si="33">ROUND(Z71-SUM(Z59,Z64,Z69)+Z59-(Z60+Z61+Z63)+Z64-(Z65+Z66+Z67+Z68),3)</f>
        <v>0</v>
      </c>
      <c r="AA72" s="272">
        <f t="shared" si="32"/>
        <v>0</v>
      </c>
      <c r="AB72" s="272">
        <f t="shared" si="32"/>
        <v>0</v>
      </c>
      <c r="AD72" s="272">
        <f>ROUND(AD71-SUM(AD59,AD64,AD69)+AD59-(AD60+AD61+AD63)+AD64-(AD65+AD66+AD67+AD68),3)</f>
        <v>0</v>
      </c>
      <c r="AE72" s="272">
        <f t="shared" ref="AE72" si="34">ROUND(AE71-SUM(AE59,AE64,AE69)+AE59-(AE60+AE61+AE63)+AE64-(AE65+AE66+AE67+AE68),3)</f>
        <v>0</v>
      </c>
      <c r="AF72" s="272">
        <f t="shared" ref="AF72" si="35">ROUND(AF71-SUM(AF59,AF64,AF69)+AF59-(AF60+AF61+AF63)+AF64-(AF65+AF66+AF67+AF68),3)</f>
        <v>0</v>
      </c>
      <c r="AG72" s="272">
        <f t="shared" ref="AG72" si="36">ROUND(AG71-SUM(AG59,AG64,AG69)+AG59-(AG60+AG61+AG63)+AG64-(AG65+AG66+AG67+AG68),3)</f>
        <v>0</v>
      </c>
      <c r="AH72" s="272">
        <f t="shared" ref="AH72:AI72" si="37">ROUND(AH71-SUM(AH59,AH64,AH69)+AH59-(AH60+AH61+AH63)+AH64-(AH65+AH66+AH67+AH68),3)</f>
        <v>0</v>
      </c>
      <c r="AI72" s="272">
        <f t="shared" si="37"/>
        <v>0</v>
      </c>
      <c r="AJ72" s="272">
        <f>ROUND(AJ71-SUM(AJ59,AJ64,AJ69)+AJ59-(AJ60+AJ61+AJ63)+AJ64-(AJ65+AJ66+AJ67+AJ68),3)</f>
        <v>0</v>
      </c>
      <c r="AK72" s="272">
        <f t="shared" ref="AK72:AN72" si="38">ROUND(AK71-SUM(AK59,AK64,AK69)+AK59-(AK60+AK61+AK63)+AK64-(AK65+AK66+AK67+AK68),3)</f>
        <v>0</v>
      </c>
      <c r="AM72" s="272">
        <f>ROUND(AM71-SUM(AM59,AM64,AM69)+AM59-(AM60+AM61+AM63)+AM64-(AM65+AM66+AM67+AM68),3)</f>
        <v>0</v>
      </c>
      <c r="AN72" s="272">
        <f t="shared" si="38"/>
        <v>0</v>
      </c>
      <c r="AO72" s="272">
        <f>ROUND(AO71-SUM(AO59,AO64,AO69)+AO59-(AO60+AO61+AO63)+AO64-(AO65+AO66+AO67+AO68),3)</f>
        <v>0</v>
      </c>
      <c r="AP72" s="272">
        <f t="shared" ref="AP72:AR72" si="39">ROUND(AP71-SUM(AP59,AP64,AP69)+AP59-(AP60+AP61+AP63)+AP64-(AP65+AP66+AP67+AP68),3)</f>
        <v>0</v>
      </c>
      <c r="AQ72" s="272">
        <f>ROUND(AQ71-SUM(AQ59,AQ64,AQ69)+AQ59-(AQ60+AQ61+AQ63)+AQ64-(AQ65+AQ66+AQ67+AQ68),3)</f>
        <v>0</v>
      </c>
      <c r="AR72" s="272">
        <f t="shared" si="39"/>
        <v>0</v>
      </c>
      <c r="AS72" s="272">
        <f>ROUND(AS71-SUM(AS59,AS64,AS69)+AS59-(AS60+AS61+AS63)+AS64-(AS65+AS66+AS67+AS68),3)</f>
        <v>0</v>
      </c>
    </row>
    <row r="73" spans="1:45" ht="17.399999999999999" collapsed="1" x14ac:dyDescent="0.3">
      <c r="C73" s="179" t="s">
        <v>220</v>
      </c>
      <c r="D73" s="145"/>
      <c r="E73" s="146"/>
      <c r="F73" s="147"/>
      <c r="AD73" s="310"/>
      <c r="AE73" s="310"/>
      <c r="AF73" s="310"/>
      <c r="AG73" s="310"/>
      <c r="AH73" s="272"/>
      <c r="AI73" s="310"/>
      <c r="AJ73" s="310"/>
      <c r="AK73" s="310"/>
      <c r="AM73" s="310"/>
      <c r="AN73" s="310"/>
      <c r="AO73" s="310"/>
      <c r="AP73" s="310"/>
      <c r="AQ73" s="310"/>
      <c r="AR73" s="310"/>
      <c r="AS73" s="310"/>
    </row>
    <row r="74" spans="1:45" ht="27.75" customHeight="1" x14ac:dyDescent="0.25">
      <c r="A74" s="172" t="s">
        <v>185</v>
      </c>
      <c r="B74" s="2"/>
      <c r="C74" s="155" t="s">
        <v>127</v>
      </c>
      <c r="D74" s="74"/>
      <c r="E74" s="68" t="str" cm="1">
        <f t="array" ref="E74">"Flows"&amp;" "&amp;"
"&amp;INDEX(TableYtd,MONTH(E$3),2)&amp;YEAR(E$3)</f>
        <v>Flows 
9M 2025</v>
      </c>
      <c r="F74" s="68" t="str" cm="1">
        <f t="array" ref="F74">"Flows"&amp;" "&amp;"
"&amp;INDEX(TableYtd,MONTH(F$3),2)&amp;YEAR(F$3)</f>
        <v>Flows 
9M 2024</v>
      </c>
      <c r="H74" s="68" t="str">
        <f>"Flows"&amp;" "&amp;"
"&amp;"Q"&amp;MONTH(H$3)/3&amp;" "&amp;YEAR(H$3)</f>
        <v>Flows 
Q3 2025</v>
      </c>
      <c r="I74" s="68" t="str">
        <f>"Flows"&amp;" "&amp;"
"&amp;"Q"&amp;MONTH(I$3)/3&amp;" "&amp;YEAR(I$3)</f>
        <v>Flows 
Q3 2024</v>
      </c>
      <c r="K74" s="68" t="str">
        <f>"Flows"&amp;" "&amp;"
"&amp;"Q"&amp;MONTH(K$3)/3&amp;" "&amp;YEAR(K$3)</f>
        <v>Flows 
Q2 2025</v>
      </c>
      <c r="N74" s="68" t="str" cm="1">
        <f t="array" ref="N74">"Flows"&amp;" "&amp;"
"&amp;INDEX(TableYtd,MONTH(N$3),2)&amp;YEAR(N$3)</f>
        <v>Flows 
9M 2025</v>
      </c>
      <c r="O74" s="68" t="str">
        <f>"Flows"&amp;" "&amp;"
"&amp;"Q"&amp;MONTH(O$3)/3&amp;" "&amp;YEAR(O$3)</f>
        <v>Flows 
Q3 2025</v>
      </c>
      <c r="P74" s="68" t="str" cm="1">
        <f t="array" ref="P74">"Flows"&amp;" "&amp;"
"&amp;INDEX(TableYtd,MONTH(P$3),2)&amp;YEAR(P$3)</f>
        <v>Flows 
H1 2025</v>
      </c>
      <c r="Q74" s="68" t="str">
        <f>"Flows"&amp;" "&amp;"
"&amp;"Q"&amp;MONTH(Q$3)/3&amp;" "&amp;YEAR(Q$3)</f>
        <v>Flows 
Q2 2025</v>
      </c>
      <c r="R74" s="68" t="str" cm="1">
        <f t="array" ref="R74">"Flows"&amp;" "&amp;"
"&amp;INDEX(TableYtd,MONTH(R$3),2)&amp;YEAR(R$3)</f>
        <v>Flows 
Q1 2025</v>
      </c>
      <c r="S74" s="68" t="str">
        <f>"Flows"&amp;" "&amp;"
"&amp;"Q"&amp;MONTH(S$3)/3&amp;" "&amp;YEAR(S$3)</f>
        <v>Flows 
Q1 2025</v>
      </c>
      <c r="U74" s="68" t="str" cm="1">
        <f t="array" ref="U74">"Flows"&amp;" "&amp;"
"&amp;INDEX(TableYtd,MONTH(U$3),2)&amp;YEAR(U$3)</f>
        <v>Flows 
FY 2024</v>
      </c>
      <c r="V74" s="68" t="str">
        <f>"Flows"&amp;" "&amp;"
"&amp;"Q"&amp;MONTH(V$3)/3&amp;" "&amp;YEAR(V$3)</f>
        <v>Flows 
Q4 2024</v>
      </c>
      <c r="W74" s="68" t="str" cm="1">
        <f t="array" ref="W74">"Flows"&amp;" "&amp;"
"&amp;INDEX(TableYtd,MONTH(W$3),2)&amp;YEAR(W$3)</f>
        <v>Flows 
9M 2024</v>
      </c>
      <c r="X74" s="68" t="str">
        <f>"Flows"&amp;" "&amp;"
"&amp;"Q"&amp;MONTH(X$3)/3&amp;" "&amp;YEAR(X$3)</f>
        <v>Flows 
Q3 2024</v>
      </c>
      <c r="Y74" s="68" t="str" cm="1">
        <f t="array" ref="Y74">"Flows"&amp;" "&amp;"
"&amp;INDEX(TableYtd,MONTH(Y$3),2)&amp;YEAR(Y$3)</f>
        <v>Flows 
H1 2024</v>
      </c>
      <c r="Z74" s="68" t="str">
        <f>"Flows"&amp;" "&amp;"
"&amp;"Q"&amp;MONTH(Z$3)/3&amp;" "&amp;YEAR(Z$3)</f>
        <v>Flows 
Q2 2024</v>
      </c>
      <c r="AA74" s="68" t="str" cm="1">
        <f t="array" ref="AA74">"Flows"&amp;" "&amp;"
"&amp;INDEX(TableYtd,MONTH(AA$3),2)&amp;YEAR(AA$3)</f>
        <v>Flows 
Q1 2024</v>
      </c>
      <c r="AB74" s="68" t="str">
        <f>"Flows"&amp;" "&amp;"
"&amp;"Q"&amp;MONTH(AB$3)/3&amp;" "&amp;YEAR(AB$3)</f>
        <v>Flows 
Q1 2024</v>
      </c>
      <c r="AD74" s="68" t="str" cm="1">
        <f t="array" ref="AD74">"Flows"&amp;" "&amp;"
"&amp;INDEX(TableYtd,MONTH(AD$3),2)&amp;YEAR(AD$3)</f>
        <v>Flows 
FY 2023</v>
      </c>
      <c r="AE74" s="68" t="str">
        <f>"Flows"&amp;" "&amp;"
"&amp;"Q"&amp;MONTH(AE$3)/3&amp;" "&amp;YEAR(AE$3)</f>
        <v>Flows 
Q4 2023</v>
      </c>
      <c r="AF74" s="68" t="str" cm="1">
        <f t="array" ref="AF74">"Flows"&amp;" "&amp;"
"&amp;INDEX(TableYtd,MONTH(AF$3),2)&amp;YEAR(AF$3)</f>
        <v>Flows 
9M 2023</v>
      </c>
      <c r="AG74" s="68" t="str">
        <f>"Flows"&amp;" "&amp;"
"&amp;"Q"&amp;MONTH(AG$3)/3&amp;" "&amp;YEAR(AG$3)</f>
        <v>Flows 
Q3 2023</v>
      </c>
      <c r="AH74" s="68" t="str" cm="1">
        <f t="array" ref="AH74">"Flows"&amp;" "&amp;"
"&amp;INDEX(TableYtd,MONTH(AH$3),2)&amp;YEAR(AH$3)</f>
        <v>Flows 
H1 2023</v>
      </c>
      <c r="AI74" s="68" t="str">
        <f>"Flows"&amp;" "&amp;"
"&amp;"Q"&amp;MONTH(AI$3)/3&amp;" "&amp;YEAR(AI$3)</f>
        <v>Flows 
Q2 2023</v>
      </c>
      <c r="AJ74" s="68" t="str" cm="1">
        <f t="array" ref="AJ74">"Flows"&amp;" "&amp;"
"&amp;INDEX(TableYtd,MONTH(AJ$3),2)&amp;YEAR(AJ$3)</f>
        <v>Flows 
Q1 2023</v>
      </c>
      <c r="AK74" s="68" t="str">
        <f>"Flows"&amp;" "&amp;"
"&amp;"Q"&amp;MONTH(AK$3)/3&amp;" "&amp;YEAR(AK$3)</f>
        <v>Flows 
Q1 2023</v>
      </c>
      <c r="AM74" s="68" t="str" cm="1">
        <f t="array" ref="AM74">"Flows"&amp;" "&amp;"
"&amp;INDEX(TableYtd,MONTH(AM$3),2)&amp;YEAR(AM$3)</f>
        <v>Flows 
FY 2022</v>
      </c>
      <c r="AN74" s="68" t="str">
        <f>"Flows"&amp;" "&amp;"
"&amp;"Q"&amp;MONTH(AN$3)/3&amp;" "&amp;YEAR(AN$3)</f>
        <v>Flows 
Q4 2022</v>
      </c>
      <c r="AO74" s="68" t="str" cm="1">
        <f t="array" ref="AO74">"Flows"&amp;" "&amp;"
"&amp;INDEX(TableYtd,MONTH(AO$3),2)&amp;YEAR(AO$3)</f>
        <v>Flows 
9M 2022</v>
      </c>
      <c r="AP74" s="68" t="str">
        <f>"Flows"&amp;" "&amp;"
"&amp;"Q"&amp;MONTH(AP$3)/3&amp;" "&amp;YEAR(AP$3)</f>
        <v>Flows 
Q3 2022</v>
      </c>
      <c r="AQ74" s="68" t="str" cm="1">
        <f t="array" ref="AQ74">"Flows"&amp;" "&amp;"
"&amp;INDEX(TableYtd,MONTH(AQ$3),2)&amp;YEAR(AQ$3)</f>
        <v>Flows 
H1 2022</v>
      </c>
      <c r="AR74" s="68" t="str">
        <f>"Flows"&amp;" "&amp;"
"&amp;"Q"&amp;MONTH(AR$3)/3&amp;" "&amp;YEAR(AR$3)</f>
        <v>Flows 
Q2 2022</v>
      </c>
      <c r="AS74" s="68" t="str" cm="1">
        <f t="array" ref="AS74">"Flows"&amp;" "&amp;"
"&amp;INDEX(TableYtd,MONTH(AS$3),2)&amp;YEAR(AS$3)</f>
        <v>Flows 
Q1 2022</v>
      </c>
    </row>
    <row r="75" spans="1:45" ht="15" customHeight="1" x14ac:dyDescent="0.25">
      <c r="A75" s="64" t="s">
        <v>190</v>
      </c>
      <c r="B75" s="51"/>
      <c r="C75" s="90" t="s">
        <v>128</v>
      </c>
      <c r="D75" s="75"/>
      <c r="E75" s="300">
        <v>10858521353.234797</v>
      </c>
      <c r="F75" s="300">
        <v>4706046276.6893921</v>
      </c>
      <c r="H75" s="300">
        <v>6370158895.5427322</v>
      </c>
      <c r="I75" s="300">
        <v>1283289124.251195</v>
      </c>
      <c r="K75" s="300">
        <v>349901264.49698591</v>
      </c>
      <c r="N75" s="300">
        <v>10858521353.234797</v>
      </c>
      <c r="O75" s="358">
        <v>6370158895.5427322</v>
      </c>
      <c r="P75" s="300">
        <v>4488362457.6920824</v>
      </c>
      <c r="Q75" s="300">
        <v>349901264.49698591</v>
      </c>
      <c r="R75" s="300">
        <v>4138461193.1950798</v>
      </c>
      <c r="S75" s="300">
        <v>4138461193.1950798</v>
      </c>
      <c r="U75" s="300">
        <v>11841830428.884041</v>
      </c>
      <c r="V75" s="300">
        <v>7135784152.1946354</v>
      </c>
      <c r="W75" s="300">
        <v>4706046276.6893921</v>
      </c>
      <c r="X75" s="300">
        <v>1283289124.251195</v>
      </c>
      <c r="Y75" s="300">
        <v>3422757152.4381895</v>
      </c>
      <c r="Z75" s="300">
        <v>1678569145.4741025</v>
      </c>
      <c r="AA75" s="300">
        <v>1744188006.9641056</v>
      </c>
      <c r="AB75" s="300">
        <v>1744188006.9641056</v>
      </c>
      <c r="AD75" s="300">
        <v>-2234264124.0154901</v>
      </c>
      <c r="AE75" s="300">
        <v>-3103506647.9354963</v>
      </c>
      <c r="AF75" s="300">
        <v>869242523.920012</v>
      </c>
      <c r="AG75" s="300">
        <v>-700109023.38999557</v>
      </c>
      <c r="AH75" s="300">
        <v>1569351547.309993</v>
      </c>
      <c r="AI75" s="300">
        <v>199832608.35000199</v>
      </c>
      <c r="AJ75" s="300">
        <v>1369518938.9599972</v>
      </c>
      <c r="AK75" s="300">
        <v>1369518938.9599972</v>
      </c>
      <c r="AM75" s="300">
        <v>4537081348.0068598</v>
      </c>
      <c r="AN75" s="300">
        <v>-2661948171.6899977</v>
      </c>
      <c r="AO75" s="300">
        <v>7199029519.6968575</v>
      </c>
      <c r="AP75" s="300">
        <v>-2843071139.6040154</v>
      </c>
      <c r="AQ75" s="300">
        <v>10042100659.300873</v>
      </c>
      <c r="AR75" s="300">
        <v>-946233311.65213394</v>
      </c>
      <c r="AS75" s="300">
        <v>10988333970.953007</v>
      </c>
    </row>
    <row r="76" spans="1:45" ht="15" customHeight="1" x14ac:dyDescent="0.2">
      <c r="A76" s="51" t="s">
        <v>191</v>
      </c>
      <c r="B76" s="51"/>
      <c r="C76" s="86" t="s">
        <v>125</v>
      </c>
      <c r="D76" s="86"/>
      <c r="E76" s="268">
        <v>-455598721.52519327</v>
      </c>
      <c r="F76" s="268">
        <v>-2470261425.8606038</v>
      </c>
      <c r="H76" s="268">
        <v>764589574.2527405</v>
      </c>
      <c r="I76" s="268">
        <v>-1229387228.9288015</v>
      </c>
      <c r="K76" s="268">
        <v>-608578910.55301583</v>
      </c>
      <c r="N76" s="268">
        <v>-455598721.52519327</v>
      </c>
      <c r="O76" s="359">
        <v>764589574.2527405</v>
      </c>
      <c r="P76" s="268">
        <v>-1220188295.7779329</v>
      </c>
      <c r="Q76" s="268">
        <v>-608578910.55301583</v>
      </c>
      <c r="R76" s="268">
        <v>-611609385.22491729</v>
      </c>
      <c r="S76" s="268">
        <v>-611609385.22491729</v>
      </c>
      <c r="U76" s="268">
        <v>-2553002774.5159678</v>
      </c>
      <c r="V76" s="268">
        <v>-82741348.655369788</v>
      </c>
      <c r="W76" s="268">
        <v>-2470261425.8606038</v>
      </c>
      <c r="X76" s="268">
        <v>-1229387228.9288015</v>
      </c>
      <c r="Y76" s="268">
        <v>-1240874196.9317987</v>
      </c>
      <c r="Z76" s="268">
        <v>-827578308.24589992</v>
      </c>
      <c r="AA76" s="268">
        <v>-413295888.68590033</v>
      </c>
      <c r="AB76" s="268">
        <v>-413295888.68590033</v>
      </c>
      <c r="AD76" s="268">
        <v>1664920265.1545019</v>
      </c>
      <c r="AE76" s="268">
        <v>-976561989.46549821</v>
      </c>
      <c r="AF76" s="268">
        <v>2641482254.6199999</v>
      </c>
      <c r="AG76" s="268">
        <v>374483377.36999989</v>
      </c>
      <c r="AH76" s="268">
        <v>2266998877.249999</v>
      </c>
      <c r="AI76" s="268">
        <v>1509433954.9600008</v>
      </c>
      <c r="AJ76" s="268">
        <v>757564922.29000103</v>
      </c>
      <c r="AK76" s="268">
        <v>757564922.29000103</v>
      </c>
      <c r="AM76" s="268">
        <v>1394851805.5068505</v>
      </c>
      <c r="AN76" s="268">
        <v>1260840292.7300053</v>
      </c>
      <c r="AO76" s="268">
        <v>134011512.77684517</v>
      </c>
      <c r="AP76" s="268">
        <v>489553876.0459736</v>
      </c>
      <c r="AQ76" s="268">
        <v>-355542363.26912844</v>
      </c>
      <c r="AR76" s="268">
        <v>-350052495.91213351</v>
      </c>
      <c r="AS76" s="268">
        <v>-5489867.3569949549</v>
      </c>
    </row>
    <row r="77" spans="1:45" ht="12" x14ac:dyDescent="0.25">
      <c r="A77" s="51" t="s">
        <v>243</v>
      </c>
      <c r="B77" s="51"/>
      <c r="C77" s="86" t="s">
        <v>126</v>
      </c>
      <c r="D77" s="87"/>
      <c r="E77" s="268">
        <v>-9394199816.4699974</v>
      </c>
      <c r="F77" s="268">
        <v>-6378104563.5100069</v>
      </c>
      <c r="H77" s="268">
        <v>-2979282291.3800025</v>
      </c>
      <c r="I77" s="268">
        <v>-1977762144.7700014</v>
      </c>
      <c r="K77" s="268">
        <v>-3532223431.2500005</v>
      </c>
      <c r="N77" s="268">
        <v>-9394199816.4699974</v>
      </c>
      <c r="O77" s="359">
        <v>-2979282291.3800025</v>
      </c>
      <c r="P77" s="268">
        <v>-6414917525.0900021</v>
      </c>
      <c r="Q77" s="268">
        <v>-3532223431.2500005</v>
      </c>
      <c r="R77" s="268">
        <v>-2882694093.8399992</v>
      </c>
      <c r="S77" s="268">
        <v>-2882694093.8399992</v>
      </c>
      <c r="U77" s="268">
        <v>-8824793997.5600052</v>
      </c>
      <c r="V77" s="268">
        <v>-2446689434.0500002</v>
      </c>
      <c r="W77" s="268">
        <v>-6378104563.5100069</v>
      </c>
      <c r="X77" s="268">
        <v>-1977762144.7700014</v>
      </c>
      <c r="Y77" s="268">
        <v>-4400342418.7400007</v>
      </c>
      <c r="Z77" s="268">
        <v>-1595081692.3599992</v>
      </c>
      <c r="AA77" s="268">
        <v>-2805260726.3799968</v>
      </c>
      <c r="AB77" s="268">
        <v>-2805260726.3799968</v>
      </c>
      <c r="AD77" s="268">
        <v>-6020981752.4699965</v>
      </c>
      <c r="AE77" s="268">
        <v>-1967993569.3199995</v>
      </c>
      <c r="AF77" s="268">
        <v>-4052988183.1499958</v>
      </c>
      <c r="AG77" s="268">
        <v>-1591719004.6799986</v>
      </c>
      <c r="AH77" s="268">
        <v>-2461269178.4700031</v>
      </c>
      <c r="AI77" s="268">
        <v>-864689911.7799989</v>
      </c>
      <c r="AJ77" s="268">
        <v>-1596579266.6900017</v>
      </c>
      <c r="AK77" s="268">
        <v>-1596579266.6900017</v>
      </c>
      <c r="AM77" s="268">
        <v>42213710.600007057</v>
      </c>
      <c r="AN77" s="268">
        <v>-1044241473.2399907</v>
      </c>
      <c r="AO77" s="268">
        <v>1086455183.8399978</v>
      </c>
      <c r="AP77" s="268">
        <v>-375782795.15000486</v>
      </c>
      <c r="AQ77" s="268">
        <v>1462237978.9900026</v>
      </c>
      <c r="AR77" s="268">
        <v>-2156220938.9899988</v>
      </c>
      <c r="AS77" s="268">
        <v>3618458917.9800014</v>
      </c>
    </row>
    <row r="78" spans="1:45" x14ac:dyDescent="0.2">
      <c r="A78" s="65" t="s">
        <v>192</v>
      </c>
      <c r="B78" s="51"/>
      <c r="C78" s="98" t="s">
        <v>131</v>
      </c>
      <c r="D78" s="88"/>
      <c r="E78" s="304">
        <v>1592571319.1400001</v>
      </c>
      <c r="F78" s="301">
        <v>-531520858.54000008</v>
      </c>
      <c r="H78" s="304">
        <v>613963614.01999998</v>
      </c>
      <c r="I78" s="304">
        <v>-674304208.2299999</v>
      </c>
      <c r="K78" s="304">
        <v>691028139.05999994</v>
      </c>
      <c r="N78" s="304">
        <v>1592571319.1400001</v>
      </c>
      <c r="O78" s="360">
        <v>613963614.01999998</v>
      </c>
      <c r="P78" s="304">
        <v>978607705.12</v>
      </c>
      <c r="Q78" s="304">
        <v>691028139.05999994</v>
      </c>
      <c r="R78" s="304">
        <v>287579566.06000006</v>
      </c>
      <c r="S78" s="304">
        <v>287579566.06000006</v>
      </c>
      <c r="T78" s="175"/>
      <c r="U78" s="304">
        <v>-1171548745.7399991</v>
      </c>
      <c r="V78" s="304">
        <v>-640027887.20000005</v>
      </c>
      <c r="W78" s="304">
        <v>-531520858.54000008</v>
      </c>
      <c r="X78" s="304">
        <v>-674304208.2299999</v>
      </c>
      <c r="Y78" s="304">
        <v>142783349.68999994</v>
      </c>
      <c r="Z78" s="304">
        <v>360774132.89999998</v>
      </c>
      <c r="AA78" s="304">
        <v>-217990783.20999998</v>
      </c>
      <c r="AB78" s="304">
        <v>-217990783.20999998</v>
      </c>
      <c r="AC78" s="175"/>
      <c r="AD78" s="304">
        <v>-3697409394.3600001</v>
      </c>
      <c r="AE78" s="304">
        <v>-427435324.44999999</v>
      </c>
      <c r="AF78" s="304">
        <v>-3269974069.9099998</v>
      </c>
      <c r="AG78" s="304">
        <v>-462836585.01999998</v>
      </c>
      <c r="AH78" s="304">
        <v>-2807137484.8899999</v>
      </c>
      <c r="AI78" s="304">
        <v>2751193.4900000095</v>
      </c>
      <c r="AJ78" s="304">
        <v>-2809888678.3800001</v>
      </c>
      <c r="AK78" s="304">
        <v>-2809888678.3800001</v>
      </c>
      <c r="AL78" s="175"/>
      <c r="AM78" s="304">
        <v>-3852259108.29</v>
      </c>
      <c r="AN78" s="304">
        <v>-2379049045.9299998</v>
      </c>
      <c r="AO78" s="304">
        <v>-1473210062.3600001</v>
      </c>
      <c r="AP78" s="304">
        <v>-1755820187.9700003</v>
      </c>
      <c r="AQ78" s="304">
        <v>282610125.61000001</v>
      </c>
      <c r="AR78" s="304">
        <v>-2050471438.96</v>
      </c>
      <c r="AS78" s="304">
        <v>2333081564.5700002</v>
      </c>
    </row>
    <row r="79" spans="1:45" x14ac:dyDescent="0.2">
      <c r="A79" s="51" t="s">
        <v>193</v>
      </c>
      <c r="B79" s="51"/>
      <c r="C79" s="86" t="s">
        <v>132</v>
      </c>
      <c r="D79" s="86"/>
      <c r="E79" s="268">
        <v>20708319891.229988</v>
      </c>
      <c r="F79" s="268">
        <v>13554412266.060003</v>
      </c>
      <c r="H79" s="268">
        <v>8584851612.6699944</v>
      </c>
      <c r="I79" s="268">
        <v>4490438497.9499979</v>
      </c>
      <c r="K79" s="268">
        <v>4490703606.3000021</v>
      </c>
      <c r="N79" s="268">
        <v>20708319891.229988</v>
      </c>
      <c r="O79" s="359">
        <v>8584851612.6699944</v>
      </c>
      <c r="P79" s="268">
        <v>12123468278.560017</v>
      </c>
      <c r="Q79" s="268">
        <v>4490703606.3000021</v>
      </c>
      <c r="R79" s="268">
        <v>7632764672.2599964</v>
      </c>
      <c r="S79" s="268">
        <v>7632764672.2599964</v>
      </c>
      <c r="U79" s="268">
        <v>23219627200.960014</v>
      </c>
      <c r="V79" s="268">
        <v>9665214934.9000053</v>
      </c>
      <c r="W79" s="268">
        <v>13554412266.060003</v>
      </c>
      <c r="X79" s="268">
        <v>4490438497.9499979</v>
      </c>
      <c r="Y79" s="268">
        <v>9063973768.1099892</v>
      </c>
      <c r="Z79" s="268">
        <v>4101229146.0800018</v>
      </c>
      <c r="AA79" s="268">
        <v>4962744622.0300026</v>
      </c>
      <c r="AB79" s="268">
        <v>4962744622.0300026</v>
      </c>
      <c r="AD79" s="268">
        <v>2121797363.3000045</v>
      </c>
      <c r="AE79" s="268">
        <v>-158951089.14999855</v>
      </c>
      <c r="AF79" s="268">
        <v>2280748452.4500079</v>
      </c>
      <c r="AG79" s="268">
        <v>517126603.92000312</v>
      </c>
      <c r="AH79" s="268">
        <v>1763621848.5299971</v>
      </c>
      <c r="AI79" s="268">
        <v>-444911434.82999986</v>
      </c>
      <c r="AJ79" s="268">
        <v>2208533283.3599977</v>
      </c>
      <c r="AK79" s="268">
        <v>2208533283.3599977</v>
      </c>
      <c r="AM79" s="268">
        <v>3100015831.9000025</v>
      </c>
      <c r="AN79" s="268">
        <v>-2878546991.1800127</v>
      </c>
      <c r="AO79" s="268">
        <v>5978562823.0800152</v>
      </c>
      <c r="AP79" s="268">
        <v>-2956842220.4999828</v>
      </c>
      <c r="AQ79" s="268">
        <v>8935405043.579998</v>
      </c>
      <c r="AR79" s="268">
        <v>1560040123.2499971</v>
      </c>
      <c r="AS79" s="268">
        <v>7375364920.3300009</v>
      </c>
    </row>
    <row r="80" spans="1:45" ht="15" customHeight="1" x14ac:dyDescent="0.2">
      <c r="A80" s="173" t="s">
        <v>194</v>
      </c>
      <c r="B80" s="51"/>
      <c r="C80" s="90" t="s">
        <v>129</v>
      </c>
      <c r="D80" s="74"/>
      <c r="E80" s="300">
        <v>46123321883.278442</v>
      </c>
      <c r="F80" s="300">
        <v>11359490140.408466</v>
      </c>
      <c r="H80" s="300">
        <v>2586808661.4786654</v>
      </c>
      <c r="I80" s="300">
        <v>-3744353255.0206256</v>
      </c>
      <c r="K80" s="300">
        <v>10788119888.38504</v>
      </c>
      <c r="N80" s="300">
        <v>46123321883.278442</v>
      </c>
      <c r="O80" s="358">
        <v>2586808661.4786654</v>
      </c>
      <c r="P80" s="300">
        <v>43536513221.799782</v>
      </c>
      <c r="Q80" s="300">
        <v>10788119888.38504</v>
      </c>
      <c r="R80" s="300">
        <v>32748393333.414761</v>
      </c>
      <c r="S80" s="300">
        <v>32748393333.414761</v>
      </c>
      <c r="U80" s="300">
        <v>22112194738.130371</v>
      </c>
      <c r="V80" s="300">
        <v>10752704597.721878</v>
      </c>
      <c r="W80" s="300">
        <v>11359490140.408466</v>
      </c>
      <c r="X80" s="300">
        <v>-3744353255.0206256</v>
      </c>
      <c r="Y80" s="300">
        <v>15103843395.42911</v>
      </c>
      <c r="Z80" s="300">
        <v>13418651312.746021</v>
      </c>
      <c r="AA80" s="300">
        <v>1685192082.6831188</v>
      </c>
      <c r="AB80" s="300">
        <v>1685192082.6831188</v>
      </c>
      <c r="AD80" s="300">
        <v>1750343973.5315742</v>
      </c>
      <c r="AE80" s="300">
        <v>5038435482.7844706</v>
      </c>
      <c r="AF80" s="300">
        <v>-3288091509.2529078</v>
      </c>
      <c r="AG80" s="300">
        <v>8487489814.8414383</v>
      </c>
      <c r="AH80" s="300">
        <v>-11775581324.094368</v>
      </c>
      <c r="AI80" s="300">
        <v>1958392126.8654828</v>
      </c>
      <c r="AJ80" s="300">
        <v>-13733973450.959852</v>
      </c>
      <c r="AK80" s="300">
        <v>-13733973450.959852</v>
      </c>
      <c r="AM80" s="300">
        <v>3285029401.2854567</v>
      </c>
      <c r="AN80" s="300">
        <v>3016661730.2430725</v>
      </c>
      <c r="AO80" s="300">
        <v>268367671.04238427</v>
      </c>
      <c r="AP80" s="300">
        <v>-682628406.13821208</v>
      </c>
      <c r="AQ80" s="300">
        <v>950996077.18059635</v>
      </c>
      <c r="AR80" s="300">
        <v>-9072363105.7011414</v>
      </c>
      <c r="AS80" s="300">
        <v>10023359182.881739</v>
      </c>
    </row>
    <row r="81" spans="1:45" ht="15" customHeight="1" x14ac:dyDescent="0.2">
      <c r="A81" s="66" t="s">
        <v>195</v>
      </c>
      <c r="B81" s="51"/>
      <c r="C81" s="86" t="s">
        <v>122</v>
      </c>
      <c r="D81" s="86"/>
      <c r="E81" s="268">
        <v>24169866235.114075</v>
      </c>
      <c r="F81" s="268">
        <v>2503458017.0501137</v>
      </c>
      <c r="H81" s="268">
        <v>-5304841530.6856623</v>
      </c>
      <c r="I81" s="268">
        <v>-7159528725.8647404</v>
      </c>
      <c r="K81" s="268">
        <v>1974833132.6884351</v>
      </c>
      <c r="N81" s="268">
        <v>24169866235.114075</v>
      </c>
      <c r="O81" s="359">
        <v>-5304841530.6856623</v>
      </c>
      <c r="P81" s="268">
        <v>29474707765.799747</v>
      </c>
      <c r="Q81" s="268">
        <v>1974833132.6884351</v>
      </c>
      <c r="R81" s="268">
        <v>27499874633.111328</v>
      </c>
      <c r="S81" s="268">
        <v>27499874633.111328</v>
      </c>
      <c r="U81" s="268">
        <v>9853605362.9602299</v>
      </c>
      <c r="V81" s="268">
        <v>7350147345.9100857</v>
      </c>
      <c r="W81" s="268">
        <v>2503458017.0501137</v>
      </c>
      <c r="X81" s="268">
        <v>-7159528725.8647404</v>
      </c>
      <c r="Y81" s="268">
        <v>9662986742.9148693</v>
      </c>
      <c r="Z81" s="268">
        <v>6271448832.7058363</v>
      </c>
      <c r="AA81" s="268">
        <v>3391537910.2090645</v>
      </c>
      <c r="AB81" s="268">
        <v>3391537910.2090645</v>
      </c>
      <c r="AD81" s="268">
        <v>11827679466.156246</v>
      </c>
      <c r="AE81" s="268">
        <v>4201790509.6330028</v>
      </c>
      <c r="AF81" s="268">
        <v>7625888956.5232172</v>
      </c>
      <c r="AG81" s="268">
        <v>13494787405.685913</v>
      </c>
      <c r="AH81" s="268">
        <v>-5868898449.1626854</v>
      </c>
      <c r="AI81" s="268">
        <v>61892172.754982233</v>
      </c>
      <c r="AJ81" s="268">
        <v>-5930790621.9176693</v>
      </c>
      <c r="AK81" s="268">
        <v>-5930790621.9176693</v>
      </c>
      <c r="AM81" s="268">
        <v>5000282499.4160566</v>
      </c>
      <c r="AN81" s="268">
        <v>8255688092.09167</v>
      </c>
      <c r="AO81" s="268">
        <v>-3255405592.6756134</v>
      </c>
      <c r="AP81" s="268">
        <v>-1375852239.4042053</v>
      </c>
      <c r="AQ81" s="268">
        <v>-1879553353.2714081</v>
      </c>
      <c r="AR81" s="268">
        <v>-9760552665.3853874</v>
      </c>
      <c r="AS81" s="268">
        <v>7880999312.1139784</v>
      </c>
    </row>
    <row r="82" spans="1:45" x14ac:dyDescent="0.2">
      <c r="A82" s="66" t="s">
        <v>196</v>
      </c>
      <c r="B82" s="51"/>
      <c r="C82" s="86" t="s">
        <v>123</v>
      </c>
      <c r="D82" s="86"/>
      <c r="E82" s="268">
        <v>4871528733.4000015</v>
      </c>
      <c r="F82" s="268">
        <v>1684771839.5799999</v>
      </c>
      <c r="H82" s="268">
        <v>3500159432.1499991</v>
      </c>
      <c r="I82" s="268">
        <v>1428397290.5699992</v>
      </c>
      <c r="K82" s="268">
        <v>53698866.729999304</v>
      </c>
      <c r="N82" s="268">
        <v>4871528733.4000015</v>
      </c>
      <c r="O82" s="359">
        <v>3500159432.1499991</v>
      </c>
      <c r="P82" s="268">
        <v>1371369301.25</v>
      </c>
      <c r="Q82" s="268">
        <v>53698866.729999304</v>
      </c>
      <c r="R82" s="268">
        <v>1317670434.52</v>
      </c>
      <c r="S82" s="268">
        <v>1317670434.52</v>
      </c>
      <c r="U82" s="268">
        <v>1106263886.390002</v>
      </c>
      <c r="V82" s="268">
        <v>-578507953.19000041</v>
      </c>
      <c r="W82" s="268">
        <v>1684771839.5799999</v>
      </c>
      <c r="X82" s="268">
        <v>1428397290.5699992</v>
      </c>
      <c r="Y82" s="268">
        <v>256374549.00999928</v>
      </c>
      <c r="Z82" s="268">
        <v>73728300.299999997</v>
      </c>
      <c r="AA82" s="268">
        <v>182646248.71000004</v>
      </c>
      <c r="AB82" s="268">
        <v>182646248.71000004</v>
      </c>
      <c r="AD82" s="268">
        <v>-842689300.73000157</v>
      </c>
      <c r="AE82" s="268">
        <v>-118754793.49999985</v>
      </c>
      <c r="AF82" s="268">
        <v>-723934507.22999978</v>
      </c>
      <c r="AG82" s="268">
        <v>-786933698.53000009</v>
      </c>
      <c r="AH82" s="268">
        <v>62999191.299999796</v>
      </c>
      <c r="AI82" s="268">
        <v>891921881.63000023</v>
      </c>
      <c r="AJ82" s="268">
        <v>-828922690.3299998</v>
      </c>
      <c r="AK82" s="268">
        <v>-828922690.3299998</v>
      </c>
      <c r="AM82" s="268">
        <v>3011883195.1000009</v>
      </c>
      <c r="AN82" s="268">
        <v>146033917.84000254</v>
      </c>
      <c r="AO82" s="268">
        <v>2865849277.2599983</v>
      </c>
      <c r="AP82" s="268">
        <v>2137115894.1699991</v>
      </c>
      <c r="AQ82" s="268">
        <v>728733383.08999908</v>
      </c>
      <c r="AR82" s="268">
        <v>-767398533.54000151</v>
      </c>
      <c r="AS82" s="268">
        <v>1496131916.6300006</v>
      </c>
    </row>
    <row r="83" spans="1:45" x14ac:dyDescent="0.2">
      <c r="A83" s="66" t="s">
        <v>197</v>
      </c>
      <c r="B83" s="51"/>
      <c r="C83" s="86" t="s">
        <v>236</v>
      </c>
      <c r="D83" s="86"/>
      <c r="E83" s="268">
        <v>2990094486.6643667</v>
      </c>
      <c r="F83" s="268">
        <v>1954295149.0283523</v>
      </c>
      <c r="H83" s="268">
        <v>100786146.81392334</v>
      </c>
      <c r="I83" s="268">
        <v>-425682798.94588518</v>
      </c>
      <c r="K83" s="268">
        <v>4136660240.8270087</v>
      </c>
      <c r="N83" s="268">
        <v>2990094486.6643667</v>
      </c>
      <c r="O83" s="359">
        <v>100786146.81392334</v>
      </c>
      <c r="P83" s="268">
        <v>2889308339.8504395</v>
      </c>
      <c r="Q83" s="268">
        <v>4136660240.8270087</v>
      </c>
      <c r="R83" s="268">
        <v>-1247351900.9765658</v>
      </c>
      <c r="S83" s="268">
        <v>-1247351900.9765658</v>
      </c>
      <c r="U83" s="268">
        <v>2194731491.7606411</v>
      </c>
      <c r="V83" s="268">
        <v>240436342.73229218</v>
      </c>
      <c r="W83" s="268">
        <v>1954295149.0283523</v>
      </c>
      <c r="X83" s="268">
        <v>-425682798.94588518</v>
      </c>
      <c r="Y83" s="268">
        <v>2379977947.9742403</v>
      </c>
      <c r="Z83" s="268">
        <v>3630593231.0901852</v>
      </c>
      <c r="AA83" s="268">
        <v>-1250615283.1159458</v>
      </c>
      <c r="AB83" s="268">
        <v>-1250615283.1159458</v>
      </c>
      <c r="AD83" s="268">
        <v>653279911.54533219</v>
      </c>
      <c r="AE83" s="268">
        <v>-796036445.76853335</v>
      </c>
      <c r="AF83" s="268">
        <v>1449316357.3138676</v>
      </c>
      <c r="AG83" s="268">
        <v>-1083755110.2044508</v>
      </c>
      <c r="AH83" s="268">
        <v>2533071467.5183167</v>
      </c>
      <c r="AI83" s="268">
        <v>3432887727.7005</v>
      </c>
      <c r="AJ83" s="268">
        <v>-899816260.18218303</v>
      </c>
      <c r="AK83" s="268">
        <v>-899816260.18218303</v>
      </c>
      <c r="AM83" s="268">
        <v>1057524477.6893928</v>
      </c>
      <c r="AN83" s="268">
        <v>-484755214.64861655</v>
      </c>
      <c r="AO83" s="268">
        <v>1542279692.3380094</v>
      </c>
      <c r="AP83" s="268">
        <v>-44879530.013984203</v>
      </c>
      <c r="AQ83" s="268">
        <v>1587159222.3519936</v>
      </c>
      <c r="AR83" s="268">
        <v>2916782125.0198812</v>
      </c>
      <c r="AS83" s="268">
        <v>-1329622902.6678874</v>
      </c>
    </row>
    <row r="84" spans="1:45" x14ac:dyDescent="0.2">
      <c r="A84" s="66" t="s">
        <v>198</v>
      </c>
      <c r="B84" s="51"/>
      <c r="C84" s="86" t="s">
        <v>237</v>
      </c>
      <c r="D84" s="86"/>
      <c r="E84" s="268">
        <v>14091832428.1</v>
      </c>
      <c r="F84" s="268">
        <v>5216965134.750001</v>
      </c>
      <c r="H84" s="268">
        <v>4290704613.2004051</v>
      </c>
      <c r="I84" s="268">
        <v>2412460979.2199998</v>
      </c>
      <c r="K84" s="268">
        <v>4622927648.1395969</v>
      </c>
      <c r="N84" s="268">
        <v>14091832428.1</v>
      </c>
      <c r="O84" s="359">
        <v>4290704613.2004051</v>
      </c>
      <c r="P84" s="268">
        <v>9801127814.8995953</v>
      </c>
      <c r="Q84" s="268">
        <v>4622927648.1395969</v>
      </c>
      <c r="R84" s="268">
        <v>5178200166.7599983</v>
      </c>
      <c r="S84" s="268">
        <v>5178200166.7599983</v>
      </c>
      <c r="U84" s="268">
        <v>8957593997.0194988</v>
      </c>
      <c r="V84" s="268">
        <v>3740628862.2694998</v>
      </c>
      <c r="W84" s="268">
        <v>5216965134.750001</v>
      </c>
      <c r="X84" s="268">
        <v>2412460979.2199998</v>
      </c>
      <c r="Y84" s="268">
        <v>2804504155.5300002</v>
      </c>
      <c r="Z84" s="268">
        <v>3442880948.6500001</v>
      </c>
      <c r="AA84" s="268">
        <v>-638376793.12</v>
      </c>
      <c r="AB84" s="268">
        <v>-638376793.12</v>
      </c>
      <c r="AD84" s="268">
        <v>-9887926103.4400024</v>
      </c>
      <c r="AE84" s="268">
        <v>1751436212.4200008</v>
      </c>
      <c r="AF84" s="268">
        <v>-11639362315.859999</v>
      </c>
      <c r="AG84" s="268">
        <v>-3136608782.1100001</v>
      </c>
      <c r="AH84" s="268">
        <v>-8502753533.749999</v>
      </c>
      <c r="AI84" s="268">
        <v>-2428309655.2200007</v>
      </c>
      <c r="AJ84" s="268">
        <v>-6074443878.5299997</v>
      </c>
      <c r="AK84" s="268">
        <v>-6074443878.5299997</v>
      </c>
      <c r="AM84" s="268">
        <v>-5784660770.920001</v>
      </c>
      <c r="AN84" s="268">
        <v>-4900305065.0400009</v>
      </c>
      <c r="AO84" s="268">
        <v>-884355705.88000047</v>
      </c>
      <c r="AP84" s="268">
        <v>-1399012530.8900008</v>
      </c>
      <c r="AQ84" s="268">
        <v>514656825.01000023</v>
      </c>
      <c r="AR84" s="268">
        <v>-1461194031.7956474</v>
      </c>
      <c r="AS84" s="268">
        <v>1975850856.8056476</v>
      </c>
    </row>
    <row r="85" spans="1:45" ht="15" customHeight="1" x14ac:dyDescent="0.2">
      <c r="A85" s="64" t="s">
        <v>199</v>
      </c>
      <c r="B85" s="51"/>
      <c r="C85" s="90" t="s">
        <v>124</v>
      </c>
      <c r="D85" s="86"/>
      <c r="E85" s="93">
        <v>12338998238.199999</v>
      </c>
      <c r="F85" s="93">
        <v>18836265435.109997</v>
      </c>
      <c r="H85" s="93">
        <v>4110793847.4499998</v>
      </c>
      <c r="I85" s="93">
        <v>5889691521.6099997</v>
      </c>
      <c r="K85" s="302">
        <v>5366038657.0200005</v>
      </c>
      <c r="N85" s="302">
        <v>12338998238.199999</v>
      </c>
      <c r="O85" s="361">
        <v>4110793847.4499998</v>
      </c>
      <c r="P85" s="302">
        <v>8228204390.75</v>
      </c>
      <c r="Q85" s="302">
        <v>5366038657.0200005</v>
      </c>
      <c r="R85" s="302">
        <v>2862165733.73</v>
      </c>
      <c r="S85" s="302">
        <v>2862165733.73</v>
      </c>
      <c r="U85" s="302">
        <v>22018090803.619999</v>
      </c>
      <c r="V85" s="302">
        <v>3181825368.5099998</v>
      </c>
      <c r="W85" s="302">
        <v>18836265435.109997</v>
      </c>
      <c r="X85" s="302">
        <v>5889691521.6099997</v>
      </c>
      <c r="Y85" s="302">
        <v>12946573913.5</v>
      </c>
      <c r="Z85" s="302">
        <v>8629214609.670002</v>
      </c>
      <c r="AA85" s="302">
        <v>4317359303.8299999</v>
      </c>
      <c r="AB85" s="302">
        <v>4317359303.8299999</v>
      </c>
      <c r="AD85" s="302">
        <v>6634141526.7100019</v>
      </c>
      <c r="AE85" s="302">
        <v>4962570128.9900007</v>
      </c>
      <c r="AF85" s="302">
        <v>1671571397.7200031</v>
      </c>
      <c r="AG85" s="302">
        <v>3488773644.7800002</v>
      </c>
      <c r="AH85" s="302">
        <v>-1817202247.0600011</v>
      </c>
      <c r="AI85" s="302">
        <v>-2854674184.1799998</v>
      </c>
      <c r="AJ85" s="302">
        <v>1037471937.1200011</v>
      </c>
      <c r="AK85" s="302">
        <v>1037471937.1200011</v>
      </c>
      <c r="AM85" s="302">
        <v>18467147967.32</v>
      </c>
      <c r="AN85" s="302">
        <v>-4301660005.1500015</v>
      </c>
      <c r="AO85" s="302">
        <v>22768807972.470001</v>
      </c>
      <c r="AP85" s="302">
        <v>2127980451.2900009</v>
      </c>
      <c r="AQ85" s="302">
        <v>20640827521.18</v>
      </c>
      <c r="AR85" s="302">
        <v>11341886211.73</v>
      </c>
      <c r="AS85" s="302">
        <v>9298941309.4500008</v>
      </c>
    </row>
    <row r="86" spans="1:45" ht="13.05" customHeight="1" x14ac:dyDescent="0.2">
      <c r="A86" s="173" t="s">
        <v>293</v>
      </c>
      <c r="B86" s="51"/>
      <c r="C86" s="90" t="s">
        <v>296</v>
      </c>
      <c r="D86" s="86"/>
      <c r="E86" s="93">
        <v>-574084810.53281796</v>
      </c>
      <c r="F86" s="93">
        <v>0</v>
      </c>
      <c r="H86" s="93">
        <v>-581676509.44571805</v>
      </c>
      <c r="I86" s="93">
        <v>0</v>
      </c>
      <c r="K86" s="92" t="s">
        <v>331</v>
      </c>
      <c r="N86" s="92">
        <v>-574084810.53281796</v>
      </c>
      <c r="O86" s="92">
        <v>-581676509.44571805</v>
      </c>
      <c r="P86" s="92">
        <v>7591698.9129003398</v>
      </c>
      <c r="Q86" s="92">
        <v>7591698.9129003398</v>
      </c>
      <c r="R86" s="92">
        <v>0</v>
      </c>
      <c r="S86" s="92">
        <v>0</v>
      </c>
      <c r="U86" s="92">
        <v>0</v>
      </c>
      <c r="V86" s="92">
        <v>0</v>
      </c>
      <c r="W86" s="92">
        <v>0</v>
      </c>
      <c r="X86" s="92">
        <v>0</v>
      </c>
      <c r="Y86" s="92">
        <v>0</v>
      </c>
      <c r="Z86" s="92">
        <v>0</v>
      </c>
      <c r="AA86" s="92">
        <v>0</v>
      </c>
      <c r="AB86" s="92">
        <v>0</v>
      </c>
      <c r="AD86" s="92">
        <v>0</v>
      </c>
      <c r="AE86" s="92">
        <v>0</v>
      </c>
      <c r="AF86" s="92">
        <v>0</v>
      </c>
      <c r="AG86" s="92">
        <v>0</v>
      </c>
      <c r="AH86" s="92">
        <v>0</v>
      </c>
      <c r="AI86" s="92">
        <v>0</v>
      </c>
      <c r="AJ86" s="92">
        <v>0</v>
      </c>
      <c r="AK86" s="92">
        <v>0</v>
      </c>
      <c r="AM86" s="92">
        <v>0</v>
      </c>
      <c r="AN86" s="92">
        <v>0</v>
      </c>
      <c r="AO86" s="92">
        <v>0</v>
      </c>
      <c r="AP86" s="92">
        <v>0</v>
      </c>
      <c r="AQ86" s="92">
        <v>0</v>
      </c>
      <c r="AR86" s="92">
        <v>0</v>
      </c>
      <c r="AS86" s="92">
        <v>0</v>
      </c>
    </row>
    <row r="87" spans="1:45" ht="18" customHeight="1" x14ac:dyDescent="0.2">
      <c r="A87" s="174" t="s">
        <v>144</v>
      </c>
      <c r="B87" s="51"/>
      <c r="C87" s="113" t="s">
        <v>130</v>
      </c>
      <c r="D87" s="86"/>
      <c r="E87" s="303">
        <v>68746756664.180359</v>
      </c>
      <c r="F87" s="303">
        <v>34901801852.20787</v>
      </c>
      <c r="H87" s="303">
        <v>12486084895.025694</v>
      </c>
      <c r="I87" s="303">
        <v>3428627390.8405781</v>
      </c>
      <c r="K87" s="303">
        <v>16511651508.814919</v>
      </c>
      <c r="N87" s="303">
        <v>68746756664.180359</v>
      </c>
      <c r="O87" s="362">
        <v>12486084895.025694</v>
      </c>
      <c r="P87" s="303">
        <v>56260671769.154724</v>
      </c>
      <c r="Q87" s="303">
        <v>16511651508.814919</v>
      </c>
      <c r="R87" s="303">
        <v>39749020260.339798</v>
      </c>
      <c r="S87" s="303">
        <v>39749020260.339798</v>
      </c>
      <c r="U87" s="303">
        <v>55972115970.634415</v>
      </c>
      <c r="V87" s="303">
        <v>21070314118.42651</v>
      </c>
      <c r="W87" s="303">
        <v>34901801852.20787</v>
      </c>
      <c r="X87" s="303">
        <v>3428627390.8405781</v>
      </c>
      <c r="Y87" s="303">
        <v>31473174461.36729</v>
      </c>
      <c r="Z87" s="303">
        <v>23726435067.890133</v>
      </c>
      <c r="AA87" s="303">
        <v>7746739393.4772224</v>
      </c>
      <c r="AB87" s="303">
        <v>7746739393.4772224</v>
      </c>
      <c r="AD87" s="303">
        <v>6150221376.2260656</v>
      </c>
      <c r="AE87" s="303">
        <v>6897498963.8390055</v>
      </c>
      <c r="AF87" s="303">
        <v>-747277587.61290836</v>
      </c>
      <c r="AG87" s="303">
        <v>11276154436.231462</v>
      </c>
      <c r="AH87" s="303">
        <v>-12023432023.844372</v>
      </c>
      <c r="AI87" s="303">
        <v>-696449448.96452141</v>
      </c>
      <c r="AJ87" s="303">
        <v>-11326982574.879837</v>
      </c>
      <c r="AK87" s="303">
        <v>-11326982574.879837</v>
      </c>
      <c r="AM87" s="303">
        <v>26121774110.282272</v>
      </c>
      <c r="AN87" s="303">
        <v>-3764518561.6869431</v>
      </c>
      <c r="AO87" s="303">
        <v>29886292671.969215</v>
      </c>
      <c r="AP87" s="303">
        <v>-1531622878.3617172</v>
      </c>
      <c r="AQ87" s="303">
        <v>31417915550.330933</v>
      </c>
      <c r="AR87" s="303">
        <v>1178230557.3261948</v>
      </c>
      <c r="AS87" s="303">
        <v>30239684993.004738</v>
      </c>
    </row>
    <row r="88" spans="1:45" hidden="1" outlineLevel="1" x14ac:dyDescent="0.2">
      <c r="A88" s="2"/>
      <c r="B88" s="2"/>
      <c r="C88" s="63"/>
      <c r="D88" s="74"/>
      <c r="E88" s="272">
        <f>ROUND(E87-SUM(E75,E80,E85,E86)+E75-(E76+E77+E79)+E80-(E81+E82+E83+E84),3)</f>
        <v>0</v>
      </c>
      <c r="F88" s="272">
        <f>ROUND(F87-SUM(F75,F80,F85)+F75-(F76+F77+F79)+F80-(F81+F82+F83+F84),3)</f>
        <v>0</v>
      </c>
      <c r="H88" s="272">
        <f>ROUND(H87-SUM(H75,H80,H85,H86)+H75-(H76+H77+H79)+H80-(H81+H82+H83+H84),3)</f>
        <v>0</v>
      </c>
      <c r="I88" s="272">
        <f>ROUND(I87-SUM(I75,I80,I85)+I75-(I76+I77+I79)+I80-(I81+I82+I83+I84),3)</f>
        <v>0</v>
      </c>
      <c r="K88" s="272">
        <f>ROUND(K87-SUM(K75,K80,K85)+K75-(K76+K77+K79)+K80-(K81+K82+K83+K84),3)</f>
        <v>7591698.9129999997</v>
      </c>
      <c r="N88" s="272">
        <f>ROUND(N87-SUM(N75,N80,N85,N86)+N75-(N76+N77+N79)+N80-(N81+N82+N83+N84),3)</f>
        <v>0</v>
      </c>
      <c r="O88" s="357">
        <f>ROUND(O87-SUM(O75,O80,O85,O86)+O75-(O76+O77+O79)+O80-(O81+O82+O83+O84),3)</f>
        <v>0</v>
      </c>
      <c r="P88" s="272">
        <f>ROUND(P87-SUM(P75,P80,P85,P86)+P75-(P76+P77+P79)+P80-(P81+P82+P83+P84),3)</f>
        <v>0</v>
      </c>
      <c r="Q88" s="272">
        <f>ROUND(Q87-SUM(Q75,Q80,Q85,Q86)+Q75-(Q76+Q77+Q79)+Q80-(Q81+Q82+Q83+Q84),3)</f>
        <v>0</v>
      </c>
      <c r="R88" s="272">
        <f t="shared" ref="R88:Z88" si="40">ROUND(R87-SUM(R75,R80,R85)+R75-(R76+R77+R79)+R80-(R81+R82+R83+R84),3)</f>
        <v>0</v>
      </c>
      <c r="S88" s="272">
        <f t="shared" si="40"/>
        <v>0</v>
      </c>
      <c r="U88" s="272">
        <f t="shared" si="40"/>
        <v>0</v>
      </c>
      <c r="V88" s="272">
        <f t="shared" si="40"/>
        <v>0</v>
      </c>
      <c r="W88" s="272">
        <f t="shared" si="40"/>
        <v>0</v>
      </c>
      <c r="X88" s="272">
        <f t="shared" si="40"/>
        <v>0</v>
      </c>
      <c r="Y88" s="272">
        <f t="shared" si="40"/>
        <v>0</v>
      </c>
      <c r="Z88" s="272">
        <f t="shared" si="40"/>
        <v>0</v>
      </c>
      <c r="AA88" s="272">
        <f t="shared" ref="AA88:AI88" si="41">ROUND(AA87-SUM(AA75,AA80,AA85)+AA75-(AA76+AA77+AA79)+AA80-(AA81+AA82+AA83+AA84),3)</f>
        <v>0</v>
      </c>
      <c r="AB88" s="272">
        <f t="shared" si="41"/>
        <v>0</v>
      </c>
      <c r="AD88" s="311">
        <f t="shared" si="41"/>
        <v>0</v>
      </c>
      <c r="AE88" s="311">
        <f t="shared" si="41"/>
        <v>0</v>
      </c>
      <c r="AF88" s="311">
        <f t="shared" si="41"/>
        <v>0</v>
      </c>
      <c r="AG88" s="311">
        <f t="shared" si="41"/>
        <v>0</v>
      </c>
      <c r="AH88" s="311">
        <f t="shared" si="41"/>
        <v>0</v>
      </c>
      <c r="AI88" s="311">
        <f t="shared" si="41"/>
        <v>0</v>
      </c>
      <c r="AJ88" s="311">
        <f t="shared" ref="AJ88:AQ88" si="42">ROUND(AJ87-SUM(AJ75,AJ80,AJ85)+AJ75-(AJ76+AJ77+AJ79)+AJ80-(AJ81+AJ82+AJ83+AJ84),3)</f>
        <v>0</v>
      </c>
      <c r="AK88" s="311">
        <f t="shared" si="42"/>
        <v>0</v>
      </c>
      <c r="AM88" s="311">
        <f t="shared" si="42"/>
        <v>-167484606.33000001</v>
      </c>
      <c r="AN88" s="311">
        <f t="shared" si="42"/>
        <v>182427884.91</v>
      </c>
      <c r="AO88" s="311">
        <f t="shared" si="42"/>
        <v>-349912491.24000001</v>
      </c>
      <c r="AP88" s="311">
        <f t="shared" si="42"/>
        <v>-133903783.91</v>
      </c>
      <c r="AQ88" s="311">
        <f t="shared" si="42"/>
        <v>-216008707.331</v>
      </c>
      <c r="AR88" s="311">
        <f t="shared" ref="AR88:AS88" si="43">ROUND(AR87-SUM(AR75,AR80,AR85)+AR75-(AR76+AR77+AR79)+AR80-(AR81+AR82+AR83+AR84),3)</f>
        <v>-145059237.051</v>
      </c>
      <c r="AS88" s="311">
        <f t="shared" si="43"/>
        <v>-70949470.280000001</v>
      </c>
    </row>
    <row r="89" spans="1:45" ht="17.399999999999999" collapsed="1" x14ac:dyDescent="0.3">
      <c r="C89" s="179" t="s">
        <v>221</v>
      </c>
      <c r="D89" s="145"/>
      <c r="E89" s="146"/>
      <c r="F89" s="147"/>
    </row>
    <row r="90" spans="1:45" ht="27.75" customHeight="1" x14ac:dyDescent="0.25">
      <c r="A90" s="172" t="s">
        <v>185</v>
      </c>
      <c r="B90" s="2"/>
      <c r="C90" s="155" t="s">
        <v>127</v>
      </c>
      <c r="D90" s="74"/>
      <c r="E90" s="68" t="str" cm="1">
        <f t="array" ref="E90">"Flows"&amp;" "&amp;"
"&amp;INDEX(TableYtd,MONTH(E$3),2)&amp;YEAR(E$3)</f>
        <v>Flows 
9M 2025</v>
      </c>
      <c r="F90" s="68" t="str" cm="1">
        <f t="array" ref="F90">"Flows"&amp;" "&amp;"
"&amp;INDEX(TableYtd,MONTH(F$3),2)&amp;YEAR(F$3)</f>
        <v>Flows 
9M 2024</v>
      </c>
      <c r="H90" s="68" t="str">
        <f>"Flows"&amp;" "&amp;"
"&amp;"Q"&amp;MONTH(H$3)/3&amp;" "&amp;YEAR(H$3)</f>
        <v>Flows 
Q3 2025</v>
      </c>
      <c r="I90" s="68" t="str">
        <f>"Flows"&amp;" "&amp;"
"&amp;"Q"&amp;MONTH(I$3)/3&amp;" "&amp;YEAR(I$3)</f>
        <v>Flows 
Q3 2024</v>
      </c>
      <c r="K90" s="68" t="str">
        <f>"Flows"&amp;" "&amp;"
"&amp;"Q"&amp;MONTH(K$3)/3&amp;" "&amp;YEAR(K$3)</f>
        <v>Flows 
Q2 2025</v>
      </c>
      <c r="N90" s="68" t="str" cm="1">
        <f t="array" ref="N90">"Flows"&amp;" "&amp;"
"&amp;INDEX(TableYtd,MONTH(N$3),2)&amp;YEAR(N$3)</f>
        <v>Flows 
9M 2025</v>
      </c>
      <c r="O90" s="68" t="str">
        <f>"Flows"&amp;" "&amp;"
"&amp;"Q"&amp;MONTH(O$3)/3&amp;" "&amp;YEAR(O$3)</f>
        <v>Flows 
Q3 2025</v>
      </c>
      <c r="P90" s="68" t="str" cm="1">
        <f t="array" ref="P90">"Flows"&amp;" "&amp;"
"&amp;INDEX(TableYtd,MONTH(P$3),2)&amp;YEAR(P$3)</f>
        <v>Flows 
H1 2025</v>
      </c>
      <c r="Q90" s="68" t="str">
        <f>"Flows"&amp;" "&amp;"
"&amp;"Q"&amp;MONTH(Q$3)/3&amp;" "&amp;YEAR(Q$3)</f>
        <v>Flows 
Q2 2025</v>
      </c>
      <c r="R90" s="68" t="str" cm="1">
        <f t="array" ref="R90">"Flows"&amp;" "&amp;"
"&amp;INDEX(TableYtd,MONTH(R$3),2)&amp;YEAR(R$3)</f>
        <v>Flows 
Q1 2025</v>
      </c>
      <c r="S90" s="68" t="str">
        <f>"Flows"&amp;" "&amp;"
"&amp;"Q"&amp;MONTH(S$3)/3&amp;" "&amp;YEAR(S$3)</f>
        <v>Flows 
Q1 2025</v>
      </c>
      <c r="U90" s="68" t="str" cm="1">
        <f t="array" ref="U90">"Flows"&amp;" "&amp;"
"&amp;INDEX(TableYtd,MONTH(U$3),2)&amp;YEAR(U$3)</f>
        <v>Flows 
FY 2024</v>
      </c>
      <c r="V90" s="68" t="str">
        <f>"Flows"&amp;" "&amp;"
"&amp;"Q"&amp;MONTH(V$3)/3&amp;" "&amp;YEAR(V$3)</f>
        <v>Flows 
Q4 2024</v>
      </c>
      <c r="W90" s="68" t="str" cm="1">
        <f t="array" ref="W90">"Flows"&amp;" "&amp;"
"&amp;INDEX(TableYtd,MONTH(W$3),2)&amp;YEAR(W$3)</f>
        <v>Flows 
9M 2024</v>
      </c>
      <c r="X90" s="68" t="str">
        <f>"Flows"&amp;" "&amp;"
"&amp;"Q"&amp;MONTH(X$3)/3&amp;" "&amp;YEAR(X$3)</f>
        <v>Flows 
Q3 2024</v>
      </c>
      <c r="Y90" s="68" t="str" cm="1">
        <f t="array" ref="Y90">"Flows"&amp;" "&amp;"
"&amp;INDEX(TableYtd,MONTH(Y$3),2)&amp;YEAR(Y$3)</f>
        <v>Flows 
H1 2024</v>
      </c>
      <c r="Z90" s="68" t="str">
        <f>"Flows"&amp;" "&amp;"
"&amp;"Q"&amp;MONTH(Z$3)/3&amp;" "&amp;YEAR(Z$3)</f>
        <v>Flows 
Q2 2024</v>
      </c>
      <c r="AA90" s="68" t="str" cm="1">
        <f t="array" ref="AA90">"Flows"&amp;" "&amp;"
"&amp;INDEX(TableYtd,MONTH(AA$3),2)&amp;YEAR(AA$3)</f>
        <v>Flows 
Q1 2024</v>
      </c>
      <c r="AB90" s="68" t="str">
        <f>"Flows"&amp;" "&amp;"
"&amp;"Q"&amp;MONTH(AB$3)/3&amp;" "&amp;YEAR(AB$3)</f>
        <v>Flows 
Q1 2024</v>
      </c>
      <c r="AD90" s="68" t="str" cm="1">
        <f t="array" ref="AD90">"Flows"&amp;" "&amp;"
"&amp;INDEX(TableYtd,MONTH(AD$3),2)&amp;YEAR(AD$3)</f>
        <v>Flows 
FY 2023</v>
      </c>
      <c r="AE90" s="68" t="str">
        <f>"Flows"&amp;" "&amp;"
"&amp;"Q"&amp;MONTH(AE$3)/3&amp;" "&amp;YEAR(AE$3)</f>
        <v>Flows 
Q4 2023</v>
      </c>
      <c r="AF90" s="68" t="str" cm="1">
        <f t="array" ref="AF90">"Flows"&amp;" "&amp;"
"&amp;INDEX(TableYtd,MONTH(AF$3),2)&amp;YEAR(AF$3)</f>
        <v>Flows 
9M 2023</v>
      </c>
      <c r="AG90" s="68" t="str">
        <f>"Flows"&amp;" "&amp;"
"&amp;"Q"&amp;MONTH(AG$3)/3&amp;" "&amp;YEAR(AG$3)</f>
        <v>Flows 
Q3 2023</v>
      </c>
      <c r="AH90" s="68" t="str" cm="1">
        <f t="array" ref="AH90">"Flows"&amp;" "&amp;"
"&amp;INDEX(TableYtd,MONTH(AH$3),2)&amp;YEAR(AH$3)</f>
        <v>Flows 
H1 2023</v>
      </c>
      <c r="AI90" s="68" t="str">
        <f>"Flows"&amp;" "&amp;"
"&amp;"Q"&amp;MONTH(AI$3)/3&amp;" "&amp;YEAR(AI$3)</f>
        <v>Flows 
Q2 2023</v>
      </c>
      <c r="AJ90" s="68" t="str" cm="1">
        <f t="array" ref="AJ90">"Flows"&amp;" "&amp;"
"&amp;INDEX(TableYtd,MONTH(AJ$3),2)&amp;YEAR(AJ$3)</f>
        <v>Flows 
Q1 2023</v>
      </c>
      <c r="AK90" s="68" t="str">
        <f>"Flows"&amp;" "&amp;"
"&amp;"Q"&amp;MONTH(AK$3)/3&amp;" "&amp;YEAR(AK$3)</f>
        <v>Flows 
Q1 2023</v>
      </c>
      <c r="AM90" s="68" t="str" cm="1">
        <f t="array" ref="AM90">"Flows"&amp;" "&amp;"
"&amp;INDEX(TableYtd,MONTH(AM$3),2)&amp;YEAR(AM$3)</f>
        <v>Flows 
FY 2022</v>
      </c>
      <c r="AN90" s="68" t="str">
        <f>"Flows"&amp;" "&amp;"
"&amp;"Q"&amp;MONTH(AN$3)/3&amp;" "&amp;YEAR(AN$3)</f>
        <v>Flows 
Q4 2022</v>
      </c>
      <c r="AO90" s="68" t="str" cm="1">
        <f t="array" ref="AO90">"Flows"&amp;" "&amp;"
"&amp;INDEX(TableYtd,MONTH(AO$3),2)&amp;YEAR(AO$3)</f>
        <v>Flows 
9M 2022</v>
      </c>
      <c r="AP90" s="68" t="str">
        <f>"Flows"&amp;" "&amp;"
"&amp;"Q"&amp;MONTH(AP$3)/3&amp;" "&amp;YEAR(AP$3)</f>
        <v>Flows 
Q3 2022</v>
      </c>
      <c r="AQ90" s="68" t="str" cm="1">
        <f t="array" ref="AQ90">"Flows"&amp;" "&amp;"
"&amp;INDEX(TableYtd,MONTH(AQ$3),2)&amp;YEAR(AQ$3)</f>
        <v>Flows 
H1 2022</v>
      </c>
      <c r="AR90" s="68" t="str">
        <f>"Flows"&amp;" "&amp;"
"&amp;"Q"&amp;MONTH(AR$3)/3&amp;" "&amp;YEAR(AR$3)</f>
        <v>Flows 
Q2 2022</v>
      </c>
      <c r="AS90" s="68" t="str" cm="1">
        <f t="array" ref="AS90">"Flows"&amp;" "&amp;"
"&amp;INDEX(TableYtd,MONTH(AS$3),2)&amp;YEAR(AS$3)</f>
        <v>Flows 
Q1 2022</v>
      </c>
    </row>
    <row r="91" spans="1:45" ht="15" customHeight="1" x14ac:dyDescent="0.25">
      <c r="A91" s="64" t="s">
        <v>201</v>
      </c>
      <c r="B91" s="51"/>
      <c r="C91" s="90" t="s">
        <v>128</v>
      </c>
      <c r="D91" s="75"/>
      <c r="E91" s="300">
        <v>4065783475.6799984</v>
      </c>
      <c r="F91" s="300">
        <v>10357730294.689999</v>
      </c>
      <c r="H91" s="300">
        <v>1354819979.7899992</v>
      </c>
      <c r="I91" s="300">
        <v>5048850012.8699999</v>
      </c>
      <c r="K91" s="300">
        <v>1088635393.1900001</v>
      </c>
      <c r="N91" s="300">
        <v>4065783475.6799984</v>
      </c>
      <c r="O91" s="358">
        <v>1354819979.7899992</v>
      </c>
      <c r="P91" s="300">
        <v>2710963495.8900003</v>
      </c>
      <c r="Q91" s="300">
        <v>1088635393.1900001</v>
      </c>
      <c r="R91" s="300">
        <v>1622328102.6999998</v>
      </c>
      <c r="S91" s="300">
        <v>1622328102.6999998</v>
      </c>
      <c r="U91" s="300">
        <v>14708564032.800001</v>
      </c>
      <c r="V91" s="300">
        <v>4350833738.1100006</v>
      </c>
      <c r="W91" s="300">
        <v>10357730294.689999</v>
      </c>
      <c r="X91" s="300">
        <v>5048850012.8699999</v>
      </c>
      <c r="Y91" s="300">
        <v>5308880281.8200016</v>
      </c>
      <c r="Z91" s="300">
        <v>527250471.43999946</v>
      </c>
      <c r="AA91" s="300">
        <v>4781629810.3800011</v>
      </c>
      <c r="AB91" s="300">
        <v>4781629810.3800011</v>
      </c>
      <c r="AD91" s="300">
        <v>8986375150.8199978</v>
      </c>
      <c r="AE91" s="300">
        <v>4249881459.4700007</v>
      </c>
      <c r="AF91" s="300">
        <v>4736493691.3499889</v>
      </c>
      <c r="AG91" s="300">
        <v>2699966495.3528519</v>
      </c>
      <c r="AH91" s="300">
        <v>2036527195.9971495</v>
      </c>
      <c r="AI91" s="300">
        <v>1949043885.8492246</v>
      </c>
      <c r="AJ91" s="300">
        <v>87483310.147924185</v>
      </c>
      <c r="AK91" s="300">
        <v>87483310.147924185</v>
      </c>
      <c r="AM91" s="300">
        <v>2020442801.7116334</v>
      </c>
      <c r="AN91" s="300">
        <v>3530053755.0774999</v>
      </c>
      <c r="AO91" s="300">
        <v>-1509610953.3658664</v>
      </c>
      <c r="AP91" s="300">
        <v>29485573.669329405</v>
      </c>
      <c r="AQ91" s="300">
        <v>-1539096527.0351958</v>
      </c>
      <c r="AR91" s="300">
        <v>-1314760047.4820569</v>
      </c>
      <c r="AS91" s="300">
        <v>-224336479.55313897</v>
      </c>
    </row>
    <row r="92" spans="1:45" ht="15" customHeight="1" x14ac:dyDescent="0.2">
      <c r="A92" s="51" t="s">
        <v>202</v>
      </c>
      <c r="B92" s="51"/>
      <c r="C92" s="86" t="s">
        <v>125</v>
      </c>
      <c r="D92" s="86"/>
      <c r="E92" s="268">
        <v>2486438301.3799987</v>
      </c>
      <c r="F92" s="268">
        <v>2731339772.2299995</v>
      </c>
      <c r="H92" s="268">
        <v>1797375641.54</v>
      </c>
      <c r="I92" s="268">
        <v>2378897727.9300003</v>
      </c>
      <c r="K92" s="268">
        <v>-94590041.160000026</v>
      </c>
      <c r="N92" s="268">
        <v>2486438301.3799987</v>
      </c>
      <c r="O92" s="359">
        <v>1797375641.54</v>
      </c>
      <c r="P92" s="268">
        <v>689062659.84000003</v>
      </c>
      <c r="Q92" s="268">
        <v>-94590041.160000026</v>
      </c>
      <c r="R92" s="268">
        <v>783652700.99999988</v>
      </c>
      <c r="S92" s="268">
        <v>783652700.99999988</v>
      </c>
      <c r="U92" s="268">
        <v>3632509267.8599997</v>
      </c>
      <c r="V92" s="268">
        <v>901169495.63000095</v>
      </c>
      <c r="W92" s="268">
        <v>2731339772.2299995</v>
      </c>
      <c r="X92" s="268">
        <v>2378897727.9300003</v>
      </c>
      <c r="Y92" s="268">
        <v>352442044.30000103</v>
      </c>
      <c r="Z92" s="268">
        <v>-1545191906.71</v>
      </c>
      <c r="AA92" s="268">
        <v>1897633951.0100002</v>
      </c>
      <c r="AB92" s="268">
        <v>1897633951.0100002</v>
      </c>
      <c r="AD92" s="268">
        <v>4072052528.9200001</v>
      </c>
      <c r="AE92" s="268">
        <v>2075203626.5700006</v>
      </c>
      <c r="AF92" s="268">
        <v>1996848902.3499894</v>
      </c>
      <c r="AG92" s="268">
        <v>484338730.9600001</v>
      </c>
      <c r="AH92" s="268">
        <v>1512510171.3900001</v>
      </c>
      <c r="AI92" s="268">
        <v>-411984075.97000128</v>
      </c>
      <c r="AJ92" s="268">
        <v>1924494247.3599999</v>
      </c>
      <c r="AK92" s="268">
        <v>1924494247.3599999</v>
      </c>
      <c r="AM92" s="268">
        <v>-980652949.18000054</v>
      </c>
      <c r="AN92" s="268">
        <v>929136531.11000085</v>
      </c>
      <c r="AO92" s="268">
        <v>-1909789480.2900014</v>
      </c>
      <c r="AP92" s="268">
        <v>369350108.93999958</v>
      </c>
      <c r="AQ92" s="268">
        <v>-2279139589.230001</v>
      </c>
      <c r="AR92" s="268">
        <v>-973315284.42708206</v>
      </c>
      <c r="AS92" s="268">
        <v>-1305824304.8029189</v>
      </c>
    </row>
    <row r="93" spans="1:45" ht="12" x14ac:dyDescent="0.25">
      <c r="A93" s="51" t="s">
        <v>244</v>
      </c>
      <c r="B93" s="51"/>
      <c r="C93" s="86" t="s">
        <v>126</v>
      </c>
      <c r="D93" s="87"/>
      <c r="E93" s="268">
        <v>856090663.56000006</v>
      </c>
      <c r="F93" s="268">
        <v>2001962273.8900001</v>
      </c>
      <c r="H93" s="268">
        <v>1988789.9700000139</v>
      </c>
      <c r="I93" s="268">
        <v>369611956.85000002</v>
      </c>
      <c r="K93" s="268">
        <v>643312608.56999993</v>
      </c>
      <c r="N93" s="268">
        <v>856090663.56000006</v>
      </c>
      <c r="O93" s="359">
        <v>1988789.9700000139</v>
      </c>
      <c r="P93" s="268">
        <v>854101873.59000015</v>
      </c>
      <c r="Q93" s="268">
        <v>643312608.56999993</v>
      </c>
      <c r="R93" s="268">
        <v>210789265.01999998</v>
      </c>
      <c r="S93" s="268">
        <v>210789265.01999998</v>
      </c>
      <c r="U93" s="268">
        <v>2368386424.6900001</v>
      </c>
      <c r="V93" s="268">
        <v>366424150.79999995</v>
      </c>
      <c r="W93" s="268">
        <v>2001962273.8900001</v>
      </c>
      <c r="X93" s="268">
        <v>369611956.85000002</v>
      </c>
      <c r="Y93" s="268">
        <v>1632350317.0400004</v>
      </c>
      <c r="Z93" s="268">
        <v>780231239.3299998</v>
      </c>
      <c r="AA93" s="268">
        <v>852119077.71000004</v>
      </c>
      <c r="AB93" s="268">
        <v>852119077.71000004</v>
      </c>
      <c r="AD93" s="268">
        <v>2428850915.3899999</v>
      </c>
      <c r="AE93" s="268">
        <v>1533530071.6700003</v>
      </c>
      <c r="AF93" s="268">
        <v>895320843.71999991</v>
      </c>
      <c r="AG93" s="268">
        <v>619803618.69999993</v>
      </c>
      <c r="AH93" s="268">
        <v>275517225.01999998</v>
      </c>
      <c r="AI93" s="268">
        <v>287282110.88000005</v>
      </c>
      <c r="AJ93" s="268">
        <v>-11764885.859999983</v>
      </c>
      <c r="AK93" s="268">
        <v>-11764885.859999983</v>
      </c>
      <c r="AM93" s="268">
        <v>35411661.69000002</v>
      </c>
      <c r="AN93" s="268">
        <v>-132678490.06999996</v>
      </c>
      <c r="AO93" s="268">
        <v>168090151.75999999</v>
      </c>
      <c r="AP93" s="268">
        <v>41916350.62999998</v>
      </c>
      <c r="AQ93" s="268">
        <v>126173801.13000001</v>
      </c>
      <c r="AR93" s="268">
        <v>219430784.43000001</v>
      </c>
      <c r="AS93" s="268">
        <v>-93256983.300000012</v>
      </c>
    </row>
    <row r="94" spans="1:45" outlineLevel="1" x14ac:dyDescent="0.2">
      <c r="A94" s="65" t="s">
        <v>203</v>
      </c>
      <c r="B94" s="51"/>
      <c r="C94" s="98" t="s">
        <v>131</v>
      </c>
      <c r="D94" s="88"/>
      <c r="E94" s="304">
        <v>0</v>
      </c>
      <c r="F94" s="304">
        <v>0</v>
      </c>
      <c r="H94" s="304">
        <v>0</v>
      </c>
      <c r="I94" s="304">
        <v>0</v>
      </c>
      <c r="K94" s="304">
        <v>0</v>
      </c>
      <c r="N94" s="304">
        <v>0</v>
      </c>
      <c r="O94" s="360">
        <v>0</v>
      </c>
      <c r="P94" s="304">
        <v>0</v>
      </c>
      <c r="Q94" s="304">
        <v>0</v>
      </c>
      <c r="R94" s="304">
        <v>0</v>
      </c>
      <c r="S94" s="304">
        <v>0</v>
      </c>
      <c r="T94" s="175"/>
      <c r="U94" s="304">
        <v>0</v>
      </c>
      <c r="V94" s="304">
        <v>0</v>
      </c>
      <c r="W94" s="304">
        <v>0</v>
      </c>
      <c r="X94" s="304">
        <v>0</v>
      </c>
      <c r="Y94" s="304">
        <v>0</v>
      </c>
      <c r="Z94" s="304">
        <v>0</v>
      </c>
      <c r="AA94" s="304">
        <v>0</v>
      </c>
      <c r="AB94" s="304">
        <v>0</v>
      </c>
      <c r="AC94" s="175"/>
      <c r="AD94" s="268">
        <v>0</v>
      </c>
      <c r="AE94" s="304">
        <v>0</v>
      </c>
      <c r="AF94" s="304">
        <v>0</v>
      </c>
      <c r="AG94" s="304">
        <v>0</v>
      </c>
      <c r="AH94" s="304">
        <v>0</v>
      </c>
      <c r="AI94" s="304">
        <v>0</v>
      </c>
      <c r="AJ94" s="304">
        <v>0</v>
      </c>
      <c r="AK94" s="304">
        <v>0</v>
      </c>
      <c r="AL94" s="175"/>
      <c r="AM94" s="304">
        <v>0</v>
      </c>
      <c r="AN94" s="304">
        <v>0</v>
      </c>
      <c r="AO94" s="304">
        <v>0</v>
      </c>
      <c r="AP94" s="304">
        <v>0</v>
      </c>
      <c r="AQ94" s="304">
        <v>0</v>
      </c>
      <c r="AR94" s="304">
        <v>0</v>
      </c>
      <c r="AS94" s="304">
        <v>0</v>
      </c>
    </row>
    <row r="95" spans="1:45" x14ac:dyDescent="0.2">
      <c r="A95" s="51" t="s">
        <v>204</v>
      </c>
      <c r="B95" s="51"/>
      <c r="C95" s="86" t="s">
        <v>132</v>
      </c>
      <c r="D95" s="86"/>
      <c r="E95" s="268">
        <v>723254510.73999953</v>
      </c>
      <c r="F95" s="268">
        <v>5624428248.5699987</v>
      </c>
      <c r="H95" s="268">
        <v>-444544451.7200008</v>
      </c>
      <c r="I95" s="268">
        <v>2300340328.0899997</v>
      </c>
      <c r="K95" s="268">
        <v>539912825.78000033</v>
      </c>
      <c r="N95" s="268">
        <v>723254510.73999953</v>
      </c>
      <c r="O95" s="359">
        <v>-444544451.7200008</v>
      </c>
      <c r="P95" s="268">
        <v>1167798962.4599998</v>
      </c>
      <c r="Q95" s="268">
        <v>539912825.78000033</v>
      </c>
      <c r="R95" s="268">
        <v>627886136.67999995</v>
      </c>
      <c r="S95" s="268">
        <v>627886136.67999995</v>
      </c>
      <c r="U95" s="268">
        <v>8707668340.2500019</v>
      </c>
      <c r="V95" s="268">
        <v>3083240091.6800003</v>
      </c>
      <c r="W95" s="268">
        <v>5624428248.5699987</v>
      </c>
      <c r="X95" s="268">
        <v>2300340328.0899997</v>
      </c>
      <c r="Y95" s="268">
        <v>3324087920.4799995</v>
      </c>
      <c r="Z95" s="268">
        <v>1292211138.8199997</v>
      </c>
      <c r="AA95" s="268">
        <v>2031876781.6600003</v>
      </c>
      <c r="AB95" s="268">
        <v>2031876781.6600003</v>
      </c>
      <c r="AD95" s="268">
        <v>2485471706.5099988</v>
      </c>
      <c r="AE95" s="268">
        <v>641147761.2299999</v>
      </c>
      <c r="AF95" s="268">
        <v>1844323945.2799997</v>
      </c>
      <c r="AG95" s="268">
        <v>1595824145.6928518</v>
      </c>
      <c r="AH95" s="268">
        <v>248499799.58714932</v>
      </c>
      <c r="AI95" s="268">
        <v>2073745850.9392259</v>
      </c>
      <c r="AJ95" s="268">
        <v>-1825246051.3520758</v>
      </c>
      <c r="AK95" s="268">
        <v>-1825246051.3520758</v>
      </c>
      <c r="AM95" s="268">
        <v>2965684089.2016339</v>
      </c>
      <c r="AN95" s="268">
        <v>2733595714.037499</v>
      </c>
      <c r="AO95" s="268">
        <v>232088375.16413507</v>
      </c>
      <c r="AP95" s="268">
        <v>-381780885.90066993</v>
      </c>
      <c r="AQ95" s="268">
        <v>613869261.06480503</v>
      </c>
      <c r="AR95" s="268">
        <v>-560875547.48497486</v>
      </c>
      <c r="AS95" s="268">
        <v>1174744808.5497799</v>
      </c>
    </row>
    <row r="96" spans="1:45" ht="15" customHeight="1" x14ac:dyDescent="0.2">
      <c r="A96" s="173" t="s">
        <v>205</v>
      </c>
      <c r="B96" s="51"/>
      <c r="C96" s="90" t="s">
        <v>129</v>
      </c>
      <c r="D96" s="74"/>
      <c r="E96" s="300">
        <v>-11634108983.046629</v>
      </c>
      <c r="F96" s="300">
        <v>-12787287086.759186</v>
      </c>
      <c r="H96" s="300">
        <v>723134040.6872977</v>
      </c>
      <c r="I96" s="300">
        <v>-4944160968.8730917</v>
      </c>
      <c r="K96" s="300">
        <v>-2057555472.3731894</v>
      </c>
      <c r="N96" s="300">
        <v>-11634108983.046629</v>
      </c>
      <c r="O96" s="358">
        <v>723134040.6872977</v>
      </c>
      <c r="P96" s="300">
        <v>-12357243023.733923</v>
      </c>
      <c r="Q96" s="300">
        <v>-2057555472.3731894</v>
      </c>
      <c r="R96" s="300">
        <v>-10299687551.360737</v>
      </c>
      <c r="S96" s="300">
        <v>-10299687551.360737</v>
      </c>
      <c r="U96" s="300">
        <v>-16486582594.017704</v>
      </c>
      <c r="V96" s="300">
        <v>-3699295507.2585297</v>
      </c>
      <c r="W96" s="300">
        <v>-12787287086.759186</v>
      </c>
      <c r="X96" s="300">
        <v>-4944160968.8730917</v>
      </c>
      <c r="Y96" s="300">
        <v>-7843126117.8860989</v>
      </c>
      <c r="Z96" s="300">
        <v>-11745390913.396088</v>
      </c>
      <c r="AA96" s="300">
        <v>3902264795.5100045</v>
      </c>
      <c r="AB96" s="300">
        <v>3902264795.5100045</v>
      </c>
      <c r="AD96" s="300">
        <v>10294853913.607056</v>
      </c>
      <c r="AE96" s="300">
        <v>6996404955.4723482</v>
      </c>
      <c r="AF96" s="300">
        <v>3298448958.1347342</v>
      </c>
      <c r="AG96" s="300">
        <v>828679798.71186793</v>
      </c>
      <c r="AH96" s="300">
        <v>2469769159.4228382</v>
      </c>
      <c r="AI96" s="300">
        <v>483111735.90077388</v>
      </c>
      <c r="AJ96" s="300">
        <v>1986657423.5220695</v>
      </c>
      <c r="AK96" s="300">
        <v>1986657423.5220695</v>
      </c>
      <c r="AM96" s="300">
        <v>-16896944078.81653</v>
      </c>
      <c r="AN96" s="300">
        <v>17229128458.742493</v>
      </c>
      <c r="AO96" s="300">
        <v>-34126072537.559021</v>
      </c>
      <c r="AP96" s="300">
        <v>-8106280483.8789902</v>
      </c>
      <c r="AQ96" s="300">
        <v>-26019792053.680031</v>
      </c>
      <c r="AR96" s="300">
        <v>9718783.5490760803</v>
      </c>
      <c r="AS96" s="300">
        <v>-26029510837.229107</v>
      </c>
    </row>
    <row r="97" spans="1:45" ht="15" customHeight="1" x14ac:dyDescent="0.2">
      <c r="A97" s="66" t="s">
        <v>206</v>
      </c>
      <c r="B97" s="51"/>
      <c r="C97" s="86" t="s">
        <v>122</v>
      </c>
      <c r="D97" s="86"/>
      <c r="E97" s="268">
        <v>142529873.37124887</v>
      </c>
      <c r="F97" s="268">
        <v>-1115922770.8191829</v>
      </c>
      <c r="H97" s="268">
        <v>-2174322574.9349723</v>
      </c>
      <c r="I97" s="268">
        <v>-2156390544.3130922</v>
      </c>
      <c r="K97" s="268">
        <v>-287151116.04758084</v>
      </c>
      <c r="N97" s="268">
        <v>142529873.37124887</v>
      </c>
      <c r="O97" s="359">
        <v>-2174322574.9349723</v>
      </c>
      <c r="P97" s="268">
        <v>2316852448.3062239</v>
      </c>
      <c r="Q97" s="268">
        <v>-287151116.04758084</v>
      </c>
      <c r="R97" s="268">
        <v>2604003564.3538017</v>
      </c>
      <c r="S97" s="268">
        <v>2604003564.3538017</v>
      </c>
      <c r="U97" s="268">
        <v>-9162344955.9459438</v>
      </c>
      <c r="V97" s="268">
        <v>-8046422185.12677</v>
      </c>
      <c r="W97" s="268">
        <v>-1115922770.8191829</v>
      </c>
      <c r="X97" s="268">
        <v>-2156390544.3130922</v>
      </c>
      <c r="Y97" s="268">
        <v>1040467773.4939067</v>
      </c>
      <c r="Z97" s="268">
        <v>-5219413758.0360899</v>
      </c>
      <c r="AA97" s="268">
        <v>6259881531.5300045</v>
      </c>
      <c r="AB97" s="268">
        <v>6259881531.5300045</v>
      </c>
      <c r="AD97" s="268">
        <v>1022642181.1771901</v>
      </c>
      <c r="AE97" s="268">
        <v>-5756945020.9657135</v>
      </c>
      <c r="AF97" s="268">
        <v>6779587202.1429272</v>
      </c>
      <c r="AG97" s="268">
        <v>4442199381.8947077</v>
      </c>
      <c r="AH97" s="268">
        <v>2337387820.2481914</v>
      </c>
      <c r="AI97" s="268">
        <v>-4577045156.369525</v>
      </c>
      <c r="AJ97" s="268">
        <v>6914432976.6177254</v>
      </c>
      <c r="AK97" s="268">
        <v>6914432976.6177254</v>
      </c>
      <c r="AM97" s="268">
        <v>-9789994007.2112026</v>
      </c>
      <c r="AN97" s="268">
        <v>-964244505.87303543</v>
      </c>
      <c r="AO97" s="268">
        <v>-8825749501.3381672</v>
      </c>
      <c r="AP97" s="268">
        <v>-3360729060.6575184</v>
      </c>
      <c r="AQ97" s="268">
        <v>-5465020440.6806488</v>
      </c>
      <c r="AR97" s="268">
        <v>2005043951.4002457</v>
      </c>
      <c r="AS97" s="268">
        <v>-7470064392.0808945</v>
      </c>
    </row>
    <row r="98" spans="1:45" x14ac:dyDescent="0.2">
      <c r="A98" s="66" t="s">
        <v>207</v>
      </c>
      <c r="B98" s="51"/>
      <c r="C98" s="86" t="s">
        <v>123</v>
      </c>
      <c r="D98" s="86"/>
      <c r="E98" s="268">
        <v>-11871831387.02</v>
      </c>
      <c r="F98" s="268">
        <v>-7470734359.5100021</v>
      </c>
      <c r="H98" s="268">
        <v>3500260602.8899999</v>
      </c>
      <c r="I98" s="268">
        <v>898340492.66000032</v>
      </c>
      <c r="K98" s="268">
        <v>-3753216664.8600001</v>
      </c>
      <c r="N98" s="268">
        <v>-11871831387.02</v>
      </c>
      <c r="O98" s="359">
        <v>3500260602.8899999</v>
      </c>
      <c r="P98" s="268">
        <v>-15372091989.91</v>
      </c>
      <c r="Q98" s="268">
        <v>-3753216664.8600001</v>
      </c>
      <c r="R98" s="268">
        <v>-11618875325.049999</v>
      </c>
      <c r="S98" s="268">
        <v>-11618875325.049999</v>
      </c>
      <c r="U98" s="268">
        <v>1660137520.6299989</v>
      </c>
      <c r="V98" s="268">
        <v>9130871880.1400013</v>
      </c>
      <c r="W98" s="268">
        <v>-7470734359.5100021</v>
      </c>
      <c r="X98" s="268">
        <v>898340492.66000032</v>
      </c>
      <c r="Y98" s="268">
        <v>-8369074852.1700048</v>
      </c>
      <c r="Z98" s="268">
        <v>-4020304150.3799992</v>
      </c>
      <c r="AA98" s="268">
        <v>-4348770701.79</v>
      </c>
      <c r="AB98" s="268">
        <v>-4348770701.79</v>
      </c>
      <c r="AD98" s="268">
        <v>3502129086.8199992</v>
      </c>
      <c r="AE98" s="268">
        <v>10178150332.370001</v>
      </c>
      <c r="AF98" s="268">
        <v>-6676021245.5500002</v>
      </c>
      <c r="AG98" s="268">
        <v>-3030297849</v>
      </c>
      <c r="AH98" s="268">
        <v>-3645723396.5500002</v>
      </c>
      <c r="AI98" s="268">
        <v>3375603329.1599998</v>
      </c>
      <c r="AJ98" s="268">
        <v>-7021326725.71</v>
      </c>
      <c r="AK98" s="268">
        <v>-7021326725.71</v>
      </c>
      <c r="AM98" s="268">
        <v>-5363727931.3799992</v>
      </c>
      <c r="AN98" s="268">
        <v>18080186988.169998</v>
      </c>
      <c r="AO98" s="268">
        <v>-23443914919.549995</v>
      </c>
      <c r="AP98" s="268">
        <v>-3817509806.4099998</v>
      </c>
      <c r="AQ98" s="268">
        <v>-19626405113.139996</v>
      </c>
      <c r="AR98" s="268">
        <v>-4764927039.2199917</v>
      </c>
      <c r="AS98" s="268">
        <v>-14861478073.920004</v>
      </c>
    </row>
    <row r="99" spans="1:45" x14ac:dyDescent="0.2">
      <c r="A99" s="66" t="s">
        <v>208</v>
      </c>
      <c r="B99" s="51"/>
      <c r="C99" s="86" t="s">
        <v>236</v>
      </c>
      <c r="D99" s="86"/>
      <c r="E99" s="268">
        <v>681883818.52212346</v>
      </c>
      <c r="F99" s="268">
        <v>513267600.94999999</v>
      </c>
      <c r="H99" s="268">
        <v>-387489952.16772991</v>
      </c>
      <c r="I99" s="268">
        <v>-34859384.359999701</v>
      </c>
      <c r="K99" s="268">
        <v>734116387.76439166</v>
      </c>
      <c r="N99" s="268">
        <v>681883818.52212346</v>
      </c>
      <c r="O99" s="359">
        <v>-387489952.16772991</v>
      </c>
      <c r="P99" s="268">
        <v>1069373770.6898525</v>
      </c>
      <c r="Q99" s="268">
        <v>734116387.76439166</v>
      </c>
      <c r="R99" s="268">
        <v>335257382.92546064</v>
      </c>
      <c r="S99" s="268">
        <v>335257382.92546064</v>
      </c>
      <c r="U99" s="268">
        <v>949808785.04823983</v>
      </c>
      <c r="V99" s="268">
        <v>436541184.09823978</v>
      </c>
      <c r="W99" s="268">
        <v>513267600.94999999</v>
      </c>
      <c r="X99" s="268">
        <v>-34859384.359999701</v>
      </c>
      <c r="Y99" s="268">
        <v>548126985.30999994</v>
      </c>
      <c r="Z99" s="268">
        <v>167860076.85000002</v>
      </c>
      <c r="AA99" s="268">
        <v>380266908.46000004</v>
      </c>
      <c r="AB99" s="268">
        <v>380266908.46000004</v>
      </c>
      <c r="AD99" s="268">
        <v>1239190060.939868</v>
      </c>
      <c r="AE99" s="268">
        <v>61401342.738061205</v>
      </c>
      <c r="AF99" s="268">
        <v>1177788718.2018077</v>
      </c>
      <c r="AG99" s="268">
        <v>152493831.31716028</v>
      </c>
      <c r="AH99" s="268">
        <v>1025294886.8846471</v>
      </c>
      <c r="AI99" s="268">
        <v>715875227.57030189</v>
      </c>
      <c r="AJ99" s="268">
        <v>309419659.31434417</v>
      </c>
      <c r="AK99" s="268">
        <v>309419659.31434417</v>
      </c>
      <c r="AM99" s="268">
        <v>172079689.31467167</v>
      </c>
      <c r="AN99" s="268">
        <v>-95427311.944467366</v>
      </c>
      <c r="AO99" s="268">
        <v>267507001.25913903</v>
      </c>
      <c r="AP99" s="268">
        <v>-154694178.63147476</v>
      </c>
      <c r="AQ99" s="268">
        <v>422201179.89061379</v>
      </c>
      <c r="AR99" s="268">
        <v>437390941.53881818</v>
      </c>
      <c r="AS99" s="268">
        <v>-15189761.648204409</v>
      </c>
    </row>
    <row r="100" spans="1:45" x14ac:dyDescent="0.2">
      <c r="A100" s="66" t="s">
        <v>209</v>
      </c>
      <c r="B100" s="51"/>
      <c r="C100" s="86" t="s">
        <v>237</v>
      </c>
      <c r="D100" s="86"/>
      <c r="E100" s="268">
        <v>-586691287.92000043</v>
      </c>
      <c r="F100" s="268">
        <v>-4713897557.3800001</v>
      </c>
      <c r="H100" s="268">
        <v>-215314035.09999999</v>
      </c>
      <c r="I100" s="268">
        <v>-3651251532.8600001</v>
      </c>
      <c r="K100" s="268">
        <v>1248695920.77</v>
      </c>
      <c r="N100" s="268">
        <v>-586691287.92000043</v>
      </c>
      <c r="O100" s="359">
        <v>-215314035.09999999</v>
      </c>
      <c r="P100" s="268">
        <v>-371377252.81999999</v>
      </c>
      <c r="Q100" s="268">
        <v>1248695920.77</v>
      </c>
      <c r="R100" s="268">
        <v>-1620073173.5900002</v>
      </c>
      <c r="S100" s="268">
        <v>-1620073173.5900002</v>
      </c>
      <c r="U100" s="268">
        <v>-9934183943.75</v>
      </c>
      <c r="V100" s="268">
        <v>-5220286386.3700008</v>
      </c>
      <c r="W100" s="268">
        <v>-4713897557.3800001</v>
      </c>
      <c r="X100" s="268">
        <v>-3651251532.8600001</v>
      </c>
      <c r="Y100" s="268">
        <v>-1062646024.52</v>
      </c>
      <c r="Z100" s="268">
        <v>-2673533081.8299999</v>
      </c>
      <c r="AA100" s="268">
        <v>1610887057.3099999</v>
      </c>
      <c r="AB100" s="268">
        <v>1610887057.3099999</v>
      </c>
      <c r="AD100" s="268">
        <v>4530892584.6699991</v>
      </c>
      <c r="AE100" s="268">
        <v>2513798301.3299999</v>
      </c>
      <c r="AF100" s="268">
        <v>2017094283.3399997</v>
      </c>
      <c r="AG100" s="268">
        <v>-735715565.50000012</v>
      </c>
      <c r="AH100" s="268">
        <v>2752809848.8399997</v>
      </c>
      <c r="AI100" s="268">
        <v>968678335.53999996</v>
      </c>
      <c r="AJ100" s="268">
        <v>1784131513.3</v>
      </c>
      <c r="AK100" s="268">
        <v>1784131513.3</v>
      </c>
      <c r="AM100" s="268">
        <v>-1915301829.5400002</v>
      </c>
      <c r="AN100" s="268">
        <v>208613288.3900001</v>
      </c>
      <c r="AO100" s="268">
        <v>-2123915117.9300003</v>
      </c>
      <c r="AP100" s="268">
        <v>-773347438.18000031</v>
      </c>
      <c r="AQ100" s="268">
        <v>-1350567679.75</v>
      </c>
      <c r="AR100" s="268">
        <v>2332210929.8300004</v>
      </c>
      <c r="AS100" s="268">
        <v>-3682778609.5800004</v>
      </c>
    </row>
    <row r="101" spans="1:45" ht="15" customHeight="1" x14ac:dyDescent="0.2">
      <c r="A101" s="64" t="s">
        <v>210</v>
      </c>
      <c r="B101" s="51"/>
      <c r="C101" s="90" t="s">
        <v>124</v>
      </c>
      <c r="D101" s="86"/>
      <c r="E101" s="93">
        <v>5514143198.3999996</v>
      </c>
      <c r="F101" s="93">
        <v>2506264929.1199999</v>
      </c>
      <c r="H101" s="93">
        <v>534374367.4600001</v>
      </c>
      <c r="I101" s="93">
        <v>-625437945.00999999</v>
      </c>
      <c r="K101" s="302">
        <v>4916465943.1300001</v>
      </c>
      <c r="N101" s="302">
        <v>5514143198.3999996</v>
      </c>
      <c r="O101" s="361">
        <v>534374367.4600001</v>
      </c>
      <c r="P101" s="302">
        <v>4979768830.9400005</v>
      </c>
      <c r="Q101" s="302">
        <v>4916465943.1300001</v>
      </c>
      <c r="R101" s="302">
        <v>63302887.809999943</v>
      </c>
      <c r="S101" s="302">
        <v>63302887.809999943</v>
      </c>
      <c r="U101" s="302">
        <v>1249782682.48</v>
      </c>
      <c r="V101" s="302">
        <v>-1256482246.6400001</v>
      </c>
      <c r="W101" s="302">
        <v>2506264929.1199999</v>
      </c>
      <c r="X101" s="302">
        <v>-625437945.00999999</v>
      </c>
      <c r="Y101" s="302">
        <v>3131702874.1300001</v>
      </c>
      <c r="Z101" s="302">
        <v>2957709074.1300001</v>
      </c>
      <c r="AA101" s="302">
        <v>173993799.99999988</v>
      </c>
      <c r="AB101" s="302">
        <v>173993799.99999988</v>
      </c>
      <c r="AD101" s="302">
        <v>389166769.28000009</v>
      </c>
      <c r="AE101" s="302">
        <v>1350452583.72</v>
      </c>
      <c r="AF101" s="302">
        <v>-961285814.43999982</v>
      </c>
      <c r="AG101" s="302">
        <v>-1076962438.5100002</v>
      </c>
      <c r="AH101" s="302">
        <v>115676624.06999993</v>
      </c>
      <c r="AI101" s="302">
        <v>1920506684.9600003</v>
      </c>
      <c r="AJ101" s="302">
        <v>-1804830060.8899999</v>
      </c>
      <c r="AK101" s="302">
        <v>-1804830060.8899999</v>
      </c>
      <c r="AM101" s="302">
        <v>-4427550810.1999998</v>
      </c>
      <c r="AN101" s="302">
        <v>-1860481645.8599997</v>
      </c>
      <c r="AO101" s="302">
        <v>-2567069164.3400002</v>
      </c>
      <c r="AP101" s="302">
        <v>-3474052427.9900002</v>
      </c>
      <c r="AQ101" s="302">
        <v>906983263.6500001</v>
      </c>
      <c r="AR101" s="302">
        <v>1760345074.7400002</v>
      </c>
      <c r="AS101" s="302">
        <v>-853361811.09000003</v>
      </c>
    </row>
    <row r="102" spans="1:45" ht="13.05" customHeight="1" x14ac:dyDescent="0.2">
      <c r="A102" s="173" t="s">
        <v>294</v>
      </c>
      <c r="B102" s="51"/>
      <c r="C102" s="90" t="s">
        <v>296</v>
      </c>
      <c r="D102" s="86"/>
      <c r="E102" s="93">
        <v>-43491566.215317599</v>
      </c>
      <c r="F102" s="93">
        <v>0</v>
      </c>
      <c r="H102" s="93">
        <v>-10769517.314497801</v>
      </c>
      <c r="I102" s="93">
        <v>0</v>
      </c>
      <c r="K102" s="92" t="s">
        <v>331</v>
      </c>
      <c r="N102" s="92">
        <v>-43491566.215317599</v>
      </c>
      <c r="O102" s="92">
        <v>-10769517.314497801</v>
      </c>
      <c r="P102" s="92">
        <v>-32722048.900819801</v>
      </c>
      <c r="Q102" s="92">
        <v>-32722048.900819801</v>
      </c>
      <c r="R102" s="92">
        <v>0</v>
      </c>
      <c r="S102" s="92">
        <v>0</v>
      </c>
      <c r="U102" s="92">
        <v>0</v>
      </c>
      <c r="V102" s="92">
        <v>0</v>
      </c>
      <c r="W102" s="92">
        <v>0</v>
      </c>
      <c r="X102" s="92">
        <v>0</v>
      </c>
      <c r="Y102" s="92">
        <v>0</v>
      </c>
      <c r="Z102" s="92">
        <v>0</v>
      </c>
      <c r="AA102" s="92">
        <v>0</v>
      </c>
      <c r="AB102" s="92">
        <v>0</v>
      </c>
      <c r="AD102" s="92">
        <v>0</v>
      </c>
      <c r="AE102" s="92">
        <v>0</v>
      </c>
      <c r="AF102" s="92">
        <v>0</v>
      </c>
      <c r="AG102" s="92">
        <v>0</v>
      </c>
      <c r="AH102" s="92">
        <v>0</v>
      </c>
      <c r="AI102" s="92">
        <v>0</v>
      </c>
      <c r="AJ102" s="92">
        <v>0</v>
      </c>
      <c r="AK102" s="92">
        <v>0</v>
      </c>
      <c r="AM102" s="92">
        <v>0</v>
      </c>
      <c r="AN102" s="92">
        <v>0</v>
      </c>
      <c r="AO102" s="92">
        <v>0</v>
      </c>
      <c r="AP102" s="92">
        <v>0</v>
      </c>
      <c r="AQ102" s="92">
        <v>0</v>
      </c>
      <c r="AR102" s="92">
        <v>0</v>
      </c>
      <c r="AS102" s="92">
        <v>0</v>
      </c>
    </row>
    <row r="103" spans="1:45" ht="16.95" customHeight="1" x14ac:dyDescent="0.2">
      <c r="A103" s="174" t="s">
        <v>145</v>
      </c>
      <c r="B103" s="51"/>
      <c r="C103" s="113" t="s">
        <v>130</v>
      </c>
      <c r="D103" s="86"/>
      <c r="E103" s="303">
        <v>-2097673875.181942</v>
      </c>
      <c r="F103" s="303">
        <v>76708137.050823748</v>
      </c>
      <c r="H103" s="303">
        <v>2601558870.622798</v>
      </c>
      <c r="I103" s="303">
        <v>-520748901.01309222</v>
      </c>
      <c r="K103" s="303">
        <v>3914823815.0459909</v>
      </c>
      <c r="N103" s="303">
        <v>-2097673875.181942</v>
      </c>
      <c r="O103" s="362">
        <v>2601558870.622798</v>
      </c>
      <c r="P103" s="303">
        <v>-4699232745.8047409</v>
      </c>
      <c r="Q103" s="303">
        <v>3914823815.0459909</v>
      </c>
      <c r="R103" s="303">
        <v>-8614056560.8507404</v>
      </c>
      <c r="S103" s="303">
        <v>-8614056560.8507404</v>
      </c>
      <c r="U103" s="303">
        <v>-528235878.73770738</v>
      </c>
      <c r="V103" s="303">
        <v>-604944015.78852725</v>
      </c>
      <c r="W103" s="303">
        <v>76708137.050823748</v>
      </c>
      <c r="X103" s="303">
        <v>-520748901.01309222</v>
      </c>
      <c r="Y103" s="303">
        <v>597457038.06390262</v>
      </c>
      <c r="Z103" s="303">
        <v>-8260431367.826088</v>
      </c>
      <c r="AA103" s="303">
        <v>8857888405.8899994</v>
      </c>
      <c r="AB103" s="303">
        <v>8857888405.8899994</v>
      </c>
      <c r="AD103" s="303">
        <v>19670395833.707073</v>
      </c>
      <c r="AE103" s="303">
        <v>12596738998.66234</v>
      </c>
      <c r="AF103" s="303">
        <v>7073656835.0447283</v>
      </c>
      <c r="AG103" s="303">
        <v>2451683855.554719</v>
      </c>
      <c r="AH103" s="303">
        <v>4621972979.4899921</v>
      </c>
      <c r="AI103" s="303">
        <v>4352662306.71</v>
      </c>
      <c r="AJ103" s="303">
        <v>269310672.7799949</v>
      </c>
      <c r="AK103" s="303">
        <v>269310672.7799949</v>
      </c>
      <c r="AM103" s="303">
        <v>-19136567480.974895</v>
      </c>
      <c r="AN103" s="303">
        <v>18716272683.049969</v>
      </c>
      <c r="AO103" s="303">
        <v>-37852840164.024864</v>
      </c>
      <c r="AP103" s="303">
        <v>-11416943554.290169</v>
      </c>
      <c r="AQ103" s="303">
        <v>-26435896609.734695</v>
      </c>
      <c r="AR103" s="303">
        <v>600363047.8575592</v>
      </c>
      <c r="AS103" s="303">
        <v>-27036259657.592255</v>
      </c>
    </row>
    <row r="104" spans="1:45" hidden="1" outlineLevel="1" x14ac:dyDescent="0.2">
      <c r="A104" s="2"/>
      <c r="B104" s="2"/>
      <c r="C104" s="63"/>
      <c r="D104" s="74"/>
      <c r="E104" s="272">
        <f>ROUND(E103-SUM(E91,E96,E101,E102)+E91-(E92+E93+E95)+E96-(E97+E98+E99+E100),3)</f>
        <v>0</v>
      </c>
      <c r="F104" s="272">
        <f>ROUND(F103-SUM(F91,F96,F101)+F91-(F92+F93+F95)+F96-(F97+F98+F99+F100),3)</f>
        <v>0</v>
      </c>
      <c r="H104" s="272">
        <f>ROUND(H103-SUM(H91,H96,H101,H102)+H91-(H92+H93+H95)+H96-(H97+H98+H99+H100),3)</f>
        <v>0</v>
      </c>
      <c r="I104" s="272">
        <f>ROUND(I103-SUM(I91,I96,I101)+I91-(I92+I93+I95)+I96-(I97+I98+I99+I100),3)</f>
        <v>0</v>
      </c>
      <c r="K104" s="272">
        <f>ROUND(K103-SUM(K91,K96,K101)+K91-(K92+K93+K95)+K96-(K97+K98+K99+K100),3)</f>
        <v>-32722048.901000001</v>
      </c>
      <c r="N104" s="272">
        <f>ROUND(N103-SUM(N91,N96,N101,N102)+N91-(N92+N93+N95)+N96-(N97+N98+N99+N100),3)</f>
        <v>0</v>
      </c>
      <c r="O104" s="357">
        <f>ROUND(O103-SUM(O91,O96,O101,O102)+O91-(O92+O93+O95)+O96-(O97+O98+O99+O100),3)</f>
        <v>0</v>
      </c>
      <c r="P104" s="272">
        <f>ROUND(P103-SUM(P91,P96,P101,P102)+P91-(P92+P93+P95)+P96-(P97+P98+P99+P100),3)</f>
        <v>0</v>
      </c>
      <c r="Q104" s="272">
        <f>ROUND(Q103-SUM(Q91,Q96,Q101,Q102)+Q91-(Q92+Q93+Q95)+Q96-(Q97+Q98+Q99+Q100),3)</f>
        <v>0</v>
      </c>
      <c r="R104" s="272">
        <f t="shared" ref="R104:Z104" si="44">ROUND(R103-SUM(R91,R96,R101)+R91-(R92+R93+R95)+R96-(R97+R98+R99+R100),3)</f>
        <v>0</v>
      </c>
      <c r="S104" s="272">
        <f t="shared" si="44"/>
        <v>0</v>
      </c>
      <c r="U104" s="272">
        <f t="shared" si="44"/>
        <v>0</v>
      </c>
      <c r="V104" s="272">
        <f t="shared" si="44"/>
        <v>0</v>
      </c>
      <c r="W104" s="272">
        <f t="shared" si="44"/>
        <v>0</v>
      </c>
      <c r="X104" s="272">
        <f t="shared" si="44"/>
        <v>0</v>
      </c>
      <c r="Y104" s="272">
        <f t="shared" si="44"/>
        <v>0</v>
      </c>
      <c r="Z104" s="272">
        <f t="shared" si="44"/>
        <v>0</v>
      </c>
      <c r="AA104" s="272">
        <f t="shared" ref="AA104:AI104" si="45">ROUND(AA103-SUM(AA91,AA96,AA101)+AA91-(AA92+AA93+AA95)+AA96-(AA97+AA98+AA99+AA100),3)</f>
        <v>0</v>
      </c>
      <c r="AB104" s="272">
        <f t="shared" si="45"/>
        <v>0</v>
      </c>
      <c r="AD104" s="311">
        <f t="shared" si="45"/>
        <v>0</v>
      </c>
      <c r="AE104" s="311">
        <f t="shared" si="45"/>
        <v>0</v>
      </c>
      <c r="AF104" s="311">
        <f t="shared" si="45"/>
        <v>0</v>
      </c>
      <c r="AG104" s="311">
        <f t="shared" si="45"/>
        <v>0</v>
      </c>
      <c r="AH104" s="311">
        <f t="shared" si="45"/>
        <v>0</v>
      </c>
      <c r="AI104" s="311">
        <f t="shared" si="45"/>
        <v>0</v>
      </c>
      <c r="AJ104" s="311">
        <f t="shared" ref="AJ104:AQ104" si="46">ROUND(AJ103-SUM(AJ91,AJ96,AJ101)+AJ91-(AJ92+AJ93+AJ95)+AJ96-(AJ97+AJ98+AJ99+AJ100),3)</f>
        <v>0</v>
      </c>
      <c r="AK104" s="311">
        <f t="shared" si="46"/>
        <v>0</v>
      </c>
      <c r="AM104" s="311">
        <f t="shared" si="46"/>
        <v>167484606.33000001</v>
      </c>
      <c r="AN104" s="311">
        <f t="shared" si="46"/>
        <v>-182427884.91</v>
      </c>
      <c r="AO104" s="311">
        <f t="shared" si="46"/>
        <v>349912491.24000001</v>
      </c>
      <c r="AP104" s="311">
        <f t="shared" si="46"/>
        <v>133903783.90899999</v>
      </c>
      <c r="AQ104" s="311">
        <f t="shared" si="46"/>
        <v>216008707.331</v>
      </c>
      <c r="AR104" s="311">
        <f t="shared" ref="AR104:AS104" si="47">ROUND(AR103-SUM(AR91,AR96,AR101)+AR91-(AR92+AR93+AR95)+AR96-(AR97+AR98+AR99+AR100),3)</f>
        <v>145059237.051</v>
      </c>
      <c r="AS104" s="311">
        <f t="shared" si="47"/>
        <v>70949470.280000001</v>
      </c>
    </row>
    <row r="105" spans="1:45" collapsed="1" x14ac:dyDescent="0.2"/>
  </sheetData>
  <phoneticPr fontId="28" type="noConversion"/>
  <pageMargins left="0.39370078740157483" right="0.39370078740157483" top="0.39370078740157483" bottom="0.59055118110236227" header="0.31496062992125984" footer="0.19685039370078741"/>
  <pageSetup paperSize="9" scale="56" orientation="landscape" verticalDpi="0" r:id="rId1"/>
  <headerFooter>
    <oddFooter>&amp;L&amp;"Arial Black,Normal"&amp;F - &amp;A&amp;C&amp;"Arial Black,Normal"&amp;8p. &amp;P / &amp;N&amp;R&amp;"Arial Narrow,Normal"&amp;8&amp;G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2BA8D-A607-4AF4-AE79-88348E2D095C}">
  <sheetPr>
    <pageSetUpPr fitToPage="1"/>
  </sheetPr>
  <dimension ref="A1:AT95"/>
  <sheetViews>
    <sheetView showGridLines="0" topLeftCell="B5" zoomScale="75" zoomScaleNormal="100" workbookViewId="0">
      <pane xSplit="3" topLeftCell="E1" activePane="topRight" state="frozen"/>
      <selection activeCell="B30" sqref="B30"/>
      <selection pane="topRight" activeCell="B30" sqref="B30"/>
    </sheetView>
  </sheetViews>
  <sheetFormatPr baseColWidth="10" defaultColWidth="9.125" defaultRowHeight="11.4" outlineLevelRow="1" outlineLevelCol="1" x14ac:dyDescent="0.2"/>
  <cols>
    <col min="1" max="1" width="25.75" hidden="1" customWidth="1" outlineLevel="1"/>
    <col min="2" max="2" width="2.75" customWidth="1" collapsed="1"/>
    <col min="3" max="3" width="49.375" customWidth="1"/>
    <col min="4" max="4" width="2.75" style="73" customWidth="1"/>
    <col min="5" max="5" width="13.375" customWidth="1"/>
    <col min="6" max="6" width="13.75" bestFit="1" customWidth="1"/>
    <col min="7" max="7" width="16" bestFit="1" customWidth="1"/>
    <col min="8" max="9" width="12.75" customWidth="1"/>
    <col min="10" max="10" width="2.75" customWidth="1"/>
    <col min="11" max="11" width="15.75" hidden="1" customWidth="1"/>
    <col min="12" max="12" width="12.75" hidden="1" customWidth="1"/>
    <col min="13" max="13" width="10.75" customWidth="1"/>
    <col min="14" max="18" width="10.625" customWidth="1"/>
    <col min="19" max="19" width="10.625" hidden="1" customWidth="1"/>
    <col min="20" max="20" width="2.75" customWidth="1"/>
    <col min="21" max="21" width="10.625" customWidth="1"/>
    <col min="22" max="22" width="10.625" customWidth="1" outlineLevel="1"/>
    <col min="23" max="23" width="10.625" customWidth="1"/>
    <col min="24" max="24" width="10.625" customWidth="1" outlineLevel="1"/>
    <col min="25" max="25" width="10.625" customWidth="1"/>
    <col min="26" max="26" width="10.625" customWidth="1" outlineLevel="1"/>
    <col min="27" max="27" width="10.625" customWidth="1"/>
    <col min="28" max="28" width="2.75" customWidth="1"/>
    <col min="29" max="35" width="10.625" customWidth="1"/>
    <col min="36" max="36" width="10.625" hidden="1" customWidth="1" outlineLevel="1"/>
    <col min="37" max="37" width="2.75" customWidth="1" collapsed="1"/>
    <col min="38" max="44" width="10.625" customWidth="1"/>
    <col min="45" max="45" width="10.625" hidden="1" customWidth="1" outlineLevel="1"/>
    <col min="46" max="46" width="10.625" customWidth="1" collapsed="1"/>
  </cols>
  <sheetData>
    <row r="1" spans="1:45" hidden="1" outlineLevel="1" x14ac:dyDescent="0.2">
      <c r="A1" s="232"/>
      <c r="B1" s="232"/>
      <c r="C1" s="50" t="s">
        <v>174</v>
      </c>
      <c r="D1" s="246"/>
      <c r="E1" s="247">
        <f>DateRef</f>
        <v>45930</v>
      </c>
      <c r="F1" s="247">
        <f>EOMONTH($E$1,-12)</f>
        <v>45565</v>
      </c>
      <c r="G1" s="248"/>
      <c r="H1" s="247">
        <f>EOMONTH($E$1,-3)</f>
        <v>45838</v>
      </c>
      <c r="I1" s="247"/>
      <c r="K1" s="247">
        <f>EOMONTH($E$1,-MONTH($E$1))</f>
        <v>45657</v>
      </c>
      <c r="L1" s="11"/>
      <c r="M1" s="11"/>
      <c r="N1" s="247">
        <f>DateRef</f>
        <v>45930</v>
      </c>
      <c r="O1" s="247"/>
      <c r="P1" s="247">
        <f>EOMONTH(N1,-3)</f>
        <v>45838</v>
      </c>
      <c r="Q1" s="247"/>
      <c r="R1" s="247">
        <f>EOMONTH(P1,-3)</f>
        <v>45747</v>
      </c>
      <c r="S1" s="247"/>
      <c r="T1" s="232"/>
      <c r="U1" s="247">
        <f>EOMONTH(R1,-3)</f>
        <v>45657</v>
      </c>
      <c r="V1" s="247"/>
      <c r="W1" s="247">
        <f>EOMONTH(U1,-3)</f>
        <v>45565</v>
      </c>
      <c r="X1" s="247"/>
      <c r="Y1" s="247">
        <f>EOMONTH(W1,-3)</f>
        <v>45473</v>
      </c>
      <c r="Z1" s="247"/>
      <c r="AA1" s="247">
        <f>EOMONTH(Y1,-3)</f>
        <v>45382</v>
      </c>
      <c r="AB1" s="232"/>
      <c r="AC1" s="247">
        <v>45291</v>
      </c>
      <c r="AD1" s="247"/>
      <c r="AE1" s="247">
        <f>EOMONTH(AC1,-3)</f>
        <v>45199</v>
      </c>
      <c r="AF1" s="247"/>
      <c r="AG1" s="247">
        <f t="shared" ref="AG1" si="0">EOMONTH(AE1,-3)</f>
        <v>45107</v>
      </c>
      <c r="AH1" s="247"/>
      <c r="AI1" s="247">
        <f t="shared" ref="AI1" si="1">EOMONTH(AG1,-3)</f>
        <v>45016</v>
      </c>
      <c r="AJ1" s="247"/>
      <c r="AK1" s="232"/>
      <c r="AL1" s="247">
        <f>EOMONTH(AI1,-3)</f>
        <v>44926</v>
      </c>
      <c r="AM1" s="247"/>
      <c r="AN1" s="247">
        <f t="shared" ref="AN1" si="2">EOMONTH(AL1,-3)</f>
        <v>44834</v>
      </c>
      <c r="AO1" s="247"/>
      <c r="AP1" s="247">
        <f t="shared" ref="AP1" si="3">EOMONTH(AN1,-3)</f>
        <v>44742</v>
      </c>
      <c r="AQ1" s="247"/>
      <c r="AR1" s="247">
        <f t="shared" ref="AR1" si="4">EOMONTH(AP1,-3)</f>
        <v>44651</v>
      </c>
      <c r="AS1" s="247"/>
    </row>
    <row r="2" spans="1:45" hidden="1" outlineLevel="1" x14ac:dyDescent="0.2">
      <c r="A2" s="232"/>
      <c r="B2" s="232"/>
      <c r="C2" s="50" t="s">
        <v>171</v>
      </c>
      <c r="D2" s="249">
        <v>45565</v>
      </c>
      <c r="E2" s="11" t="str">
        <f>DateYtd</f>
        <v>2025Sep</v>
      </c>
      <c r="F2" s="11" t="str" cm="1">
        <f t="array" ref="F2">YEAR(EOMONTH(DateRef,-12))&amp;INDEX(TableYtd,MONTH(EOMONTH(DateRef,-12)),1)</f>
        <v>2024Sep</v>
      </c>
      <c r="G2" s="248"/>
      <c r="H2" s="11" t="str" cm="1">
        <f t="array" ref="H2">YEAR(EOMONTH(DateRef,-3))&amp;INDEX(TableYtd,MONTH(EOMONTH(DateRef,-3)),1)</f>
        <v>2025Jun</v>
      </c>
      <c r="I2" s="248"/>
      <c r="K2" s="11" t="str" cm="1">
        <f t="array" ref="K2">YEAR(EOMONTH(DateRef,-MONTH(DateRef)))&amp;INDEX(TableYtd,MONTH(EOMONTH(DateRef,-MONTH(DateRef))),1)</f>
        <v>2024Dec</v>
      </c>
      <c r="L2" s="11"/>
      <c r="M2" s="11"/>
      <c r="N2" s="11" t="str">
        <f>DateYtd</f>
        <v>2025Sep</v>
      </c>
      <c r="O2" s="232"/>
      <c r="P2" s="11" t="str" cm="1">
        <f t="array" ref="P2">YEAR(P1)&amp;INDEX(TableYtd,MONTH(P1),1)</f>
        <v>2025Jun</v>
      </c>
      <c r="Q2" s="232"/>
      <c r="R2" s="11" t="str" cm="1">
        <f t="array" ref="R2">YEAR(R1)&amp;INDEX(TableYtd,MONTH(R1),1)</f>
        <v>2025Mar</v>
      </c>
      <c r="S2" s="232"/>
      <c r="T2" s="232"/>
      <c r="U2" s="11" t="str" cm="1">
        <f t="array" ref="U2">YEAR(U1)&amp;INDEX(TableYtd,MONTH(U1),1)</f>
        <v>2024Dec</v>
      </c>
      <c r="V2" s="232"/>
      <c r="W2" s="11" t="str" cm="1">
        <f t="array" ref="W2">YEAR(W1)&amp;INDEX(TableYtd,MONTH(W1),1)</f>
        <v>2024Sep</v>
      </c>
      <c r="X2" s="232"/>
      <c r="Y2" s="11" t="str" cm="1">
        <f t="array" ref="Y2">YEAR(Y1)&amp;INDEX(TableYtd,MONTH(Y1),1)</f>
        <v>2024Jun</v>
      </c>
      <c r="Z2" s="232"/>
      <c r="AA2" s="11" t="str" cm="1">
        <f t="array" ref="AA2">YEAR(AA1)&amp;INDEX(TableYtd,MONTH(AA1),1)</f>
        <v>2024Mar</v>
      </c>
      <c r="AB2" s="232"/>
      <c r="AC2" s="11" t="str" cm="1">
        <f t="array" ref="AC2">YEAR(AC1)&amp;INDEX(TableYtd,MONTH(AC1),1)</f>
        <v>2023Dec</v>
      </c>
      <c r="AD2" s="232"/>
      <c r="AE2" s="11" t="str" cm="1">
        <f t="array" ref="AE2">YEAR(AE1)&amp;INDEX(TableYtd,MONTH(AE1),1)</f>
        <v>2023Sep</v>
      </c>
      <c r="AF2" s="232"/>
      <c r="AG2" s="11" t="str" cm="1">
        <f t="array" ref="AG2">YEAR(AG1)&amp;INDEX(TableYtd,MONTH(AG1),1)</f>
        <v>2023Jun</v>
      </c>
      <c r="AH2" s="232"/>
      <c r="AI2" s="11" t="str" cm="1">
        <f t="array" ref="AI2">YEAR(AI1)&amp;INDEX(TableYtd,MONTH(AI1),1)</f>
        <v>2023Mar</v>
      </c>
      <c r="AJ2" s="232"/>
      <c r="AK2" s="232"/>
      <c r="AL2" s="11" t="str" cm="1">
        <f t="array" ref="AL2">YEAR(AL1)&amp;INDEX(TableYtd,MONTH(AL1),1)</f>
        <v>2022Dec</v>
      </c>
      <c r="AM2" s="232"/>
      <c r="AN2" s="11" t="str" cm="1">
        <f t="array" ref="AN2">YEAR(AN1)&amp;INDEX(TableYtd,MONTH(AN1),1)</f>
        <v>2022Sep</v>
      </c>
      <c r="AO2" s="232"/>
      <c r="AP2" s="11" t="str" cm="1">
        <f t="array" ref="AP2">YEAR(AP1)&amp;INDEX(TableYtd,MONTH(AP1),1)</f>
        <v>2022Jun</v>
      </c>
      <c r="AQ2" s="232"/>
      <c r="AR2" s="11" t="str" cm="1">
        <f t="array" ref="AR2">YEAR(AR1)&amp;INDEX(TableYtd,MONTH(AR1),1)</f>
        <v>2022Mar</v>
      </c>
      <c r="AS2" s="232"/>
    </row>
    <row r="3" spans="1:45" hidden="1" outlineLevel="1" x14ac:dyDescent="0.2">
      <c r="A3" s="232"/>
      <c r="B3" s="232"/>
      <c r="C3" s="50" t="s">
        <v>186</v>
      </c>
      <c r="D3" s="246"/>
      <c r="E3" s="247">
        <f>DateRef</f>
        <v>45930</v>
      </c>
      <c r="F3" s="247">
        <f>EOMONTH($E$1,-12)</f>
        <v>45565</v>
      </c>
      <c r="G3" s="248"/>
      <c r="H3" s="247">
        <f>DateRef</f>
        <v>45930</v>
      </c>
      <c r="I3" s="247">
        <f>EOMONTH(H3,-12)</f>
        <v>45565</v>
      </c>
      <c r="K3" s="247">
        <f>EOMONTH(H3,-3)</f>
        <v>45838</v>
      </c>
      <c r="M3" s="11"/>
      <c r="N3" s="247">
        <f>DateRef</f>
        <v>45930</v>
      </c>
      <c r="O3" s="247">
        <f>N3</f>
        <v>45930</v>
      </c>
      <c r="P3" s="247">
        <f>EOMONTH(N3,-3)</f>
        <v>45838</v>
      </c>
      <c r="Q3" s="247">
        <f>P3</f>
        <v>45838</v>
      </c>
      <c r="R3" s="247">
        <f>EOMONTH(P3,-3)</f>
        <v>45747</v>
      </c>
      <c r="S3" s="247">
        <f>R3</f>
        <v>45747</v>
      </c>
      <c r="T3" s="232"/>
      <c r="U3" s="247">
        <f>EOMONTH(R3,-3)</f>
        <v>45657</v>
      </c>
      <c r="V3" s="247">
        <f>U3</f>
        <v>45657</v>
      </c>
      <c r="W3" s="247">
        <f>EOMONTH(U3,-3)</f>
        <v>45565</v>
      </c>
      <c r="X3" s="247">
        <f>W3</f>
        <v>45565</v>
      </c>
      <c r="Y3" s="247">
        <f>EOMONTH(W3,-3)</f>
        <v>45473</v>
      </c>
      <c r="Z3" s="247">
        <f>Y3</f>
        <v>45473</v>
      </c>
      <c r="AA3" s="247">
        <f>EOMONTH(Y3,-3)</f>
        <v>45382</v>
      </c>
      <c r="AB3" s="232"/>
      <c r="AC3" s="247">
        <f>AC1</f>
        <v>45291</v>
      </c>
      <c r="AD3" s="247">
        <f t="shared" ref="AD3" si="5">AC3</f>
        <v>45291</v>
      </c>
      <c r="AE3" s="247">
        <f>EOMONTH(AC3,-3)</f>
        <v>45199</v>
      </c>
      <c r="AF3" s="247">
        <f t="shared" ref="AF3" si="6">AE3</f>
        <v>45199</v>
      </c>
      <c r="AG3" s="247">
        <f t="shared" ref="AG3" si="7">EOMONTH(AE3,-3)</f>
        <v>45107</v>
      </c>
      <c r="AH3" s="247">
        <f t="shared" ref="AH3" si="8">AG3</f>
        <v>45107</v>
      </c>
      <c r="AI3" s="247">
        <f t="shared" ref="AI3" si="9">EOMONTH(AG3,-3)</f>
        <v>45016</v>
      </c>
      <c r="AJ3" s="247">
        <f t="shared" ref="AJ3" si="10">AI3</f>
        <v>45016</v>
      </c>
      <c r="AK3" s="232"/>
      <c r="AL3" s="247">
        <f>EOMONTH(AI3,-3)</f>
        <v>44926</v>
      </c>
      <c r="AM3" s="247">
        <f t="shared" ref="AM3" si="11">AL3</f>
        <v>44926</v>
      </c>
      <c r="AN3" s="247">
        <f t="shared" ref="AN3" si="12">EOMONTH(AL3,-3)</f>
        <v>44834</v>
      </c>
      <c r="AO3" s="247">
        <f t="shared" ref="AO3" si="13">AN3</f>
        <v>44834</v>
      </c>
      <c r="AP3" s="247">
        <f t="shared" ref="AP3" si="14">EOMONTH(AN3,-3)</f>
        <v>44742</v>
      </c>
      <c r="AQ3" s="247">
        <f t="shared" ref="AQ3" si="15">AP3</f>
        <v>44742</v>
      </c>
      <c r="AR3" s="247">
        <f t="shared" ref="AR3" si="16">EOMONTH(AP3,-3)</f>
        <v>44651</v>
      </c>
      <c r="AS3" s="247">
        <f t="shared" ref="AS3" si="17">AR3</f>
        <v>44651</v>
      </c>
    </row>
    <row r="4" spans="1:45" hidden="1" outlineLevel="1" x14ac:dyDescent="0.2">
      <c r="A4" s="232"/>
      <c r="B4" s="232"/>
      <c r="C4" s="50" t="s">
        <v>172</v>
      </c>
      <c r="D4" s="246"/>
      <c r="E4" s="11" t="str">
        <f>DateYtd</f>
        <v>2025Sep</v>
      </c>
      <c r="F4" s="11" t="str" cm="1">
        <f t="array" ref="F4">YEAR(EOMONTH(DateRef,-12))&amp;INDEX(TableYtd,MONTH(EOMONTH(DateRef,-12)),1)</f>
        <v>2024Sep</v>
      </c>
      <c r="G4" s="248"/>
      <c r="H4" s="11" t="str">
        <f>DateQ</f>
        <v>2025Q3</v>
      </c>
      <c r="I4" s="11" t="str">
        <f>YEAR(I$3)&amp;"Q"&amp;MONTH(I$3)/3</f>
        <v>2024Q3</v>
      </c>
      <c r="K4" s="11" t="str">
        <f>YEAR(K$3)&amp;"Q"&amp;MONTH(K$3)/3</f>
        <v>2025Q2</v>
      </c>
      <c r="M4" s="11"/>
      <c r="N4" s="11" t="str">
        <f>DateYtd</f>
        <v>2025Sep</v>
      </c>
      <c r="O4" s="11" t="str">
        <f>YEAR(O3)&amp;"Q"&amp;MONTH(O3)/3</f>
        <v>2025Q3</v>
      </c>
      <c r="P4" s="11" t="str" cm="1">
        <f t="array" ref="P4">YEAR(P3)&amp;INDEX(TableYtd,MONTH(P3),1)</f>
        <v>2025Jun</v>
      </c>
      <c r="Q4" s="11" t="str">
        <f>YEAR(Q3)&amp;"Q"&amp;MONTH(Q3)/3</f>
        <v>2025Q2</v>
      </c>
      <c r="R4" s="11" t="str" cm="1">
        <f t="array" ref="R4">YEAR(R3)&amp;INDEX(TableYtd,MONTH(R3),1)</f>
        <v>2025Mar</v>
      </c>
      <c r="S4" s="11" t="str">
        <f>YEAR(S3)&amp;"Q"&amp;MONTH(S3)/3</f>
        <v>2025Q1</v>
      </c>
      <c r="T4" s="232"/>
      <c r="U4" s="11" t="str" cm="1">
        <f t="array" ref="U4">YEAR(U3)&amp;INDEX(TableYtd,MONTH(U3),1)</f>
        <v>2024Dec</v>
      </c>
      <c r="V4" s="11" t="str">
        <f>YEAR(V3)&amp;"Q"&amp;MONTH(V3)/3</f>
        <v>2024Q4</v>
      </c>
      <c r="W4" s="11" t="str" cm="1">
        <f t="array" ref="W4">YEAR(W3)&amp;INDEX(TableYtd,MONTH(W3),1)</f>
        <v>2024Sep</v>
      </c>
      <c r="X4" s="11" t="str">
        <f>YEAR(X3)&amp;"Q"&amp;MONTH(X3)/3</f>
        <v>2024Q3</v>
      </c>
      <c r="Y4" s="11" t="str" cm="1">
        <f t="array" ref="Y4">YEAR(Y3)&amp;INDEX(TableYtd,MONTH(Y3),1)</f>
        <v>2024Jun</v>
      </c>
      <c r="Z4" s="11" t="str">
        <f>YEAR(Z3)&amp;"Q"&amp;MONTH(Z3)/3</f>
        <v>2024Q2</v>
      </c>
      <c r="AA4" s="11" t="str" cm="1">
        <f t="array" ref="AA4">YEAR(AA3)&amp;INDEX(TableYtd,MONTH(AA3),1)</f>
        <v>2024Mar</v>
      </c>
      <c r="AB4" s="232"/>
      <c r="AC4" s="11" t="str" cm="1">
        <f t="array" ref="AC4">YEAR(AC3)&amp;INDEX(TableYtd,MONTH(AC3),1)</f>
        <v>2023Dec</v>
      </c>
      <c r="AD4" s="11" t="str">
        <f t="shared" ref="AD4" si="18">YEAR(AD3)&amp;"Q"&amp;MONTH(AD3)/3</f>
        <v>2023Q4</v>
      </c>
      <c r="AE4" s="11" t="str" cm="1">
        <f t="array" ref="AE4">YEAR(AE3)&amp;INDEX(TableYtd,MONTH(AE3),1)</f>
        <v>2023Sep</v>
      </c>
      <c r="AF4" s="11" t="str">
        <f t="shared" ref="AF4" si="19">YEAR(AF3)&amp;"Q"&amp;MONTH(AF3)/3</f>
        <v>2023Q3</v>
      </c>
      <c r="AG4" s="11" t="str" cm="1">
        <f t="array" ref="AG4">YEAR(AG3)&amp;INDEX(TableYtd,MONTH(AG3),1)</f>
        <v>2023Jun</v>
      </c>
      <c r="AH4" s="11" t="str">
        <f t="shared" ref="AH4" si="20">YEAR(AH3)&amp;"Q"&amp;MONTH(AH3)/3</f>
        <v>2023Q2</v>
      </c>
      <c r="AI4" s="11" t="str" cm="1">
        <f t="array" ref="AI4">YEAR(AI3)&amp;INDEX(TableYtd,MONTH(AI3),1)</f>
        <v>2023Mar</v>
      </c>
      <c r="AJ4" s="11" t="str">
        <f t="shared" ref="AJ4" si="21">YEAR(AJ3)&amp;"Q"&amp;MONTH(AJ3)/3</f>
        <v>2023Q1</v>
      </c>
      <c r="AK4" s="232"/>
      <c r="AL4" s="11" t="str" cm="1">
        <f t="array" ref="AL4">YEAR(AL3)&amp;INDEX(TableYtd,MONTH(AL3),1)</f>
        <v>2022Dec</v>
      </c>
      <c r="AM4" s="11" t="str">
        <f t="shared" ref="AM4" si="22">YEAR(AM3)&amp;"Q"&amp;MONTH(AM3)/3</f>
        <v>2022Q4</v>
      </c>
      <c r="AN4" s="11" t="str" cm="1">
        <f t="array" ref="AN4">YEAR(AN3)&amp;INDEX(TableYtd,MONTH(AN3),1)</f>
        <v>2022Sep</v>
      </c>
      <c r="AO4" s="11" t="str">
        <f t="shared" ref="AO4" si="23">YEAR(AO3)&amp;"Q"&amp;MONTH(AO3)/3</f>
        <v>2022Q3</v>
      </c>
      <c r="AP4" s="11" t="str" cm="1">
        <f t="array" ref="AP4">YEAR(AP3)&amp;INDEX(TableYtd,MONTH(AP3),1)</f>
        <v>2022Jun</v>
      </c>
      <c r="AQ4" s="11" t="str">
        <f t="shared" ref="AQ4" si="24">YEAR(AQ3)&amp;"Q"&amp;MONTH(AQ3)/3</f>
        <v>2022Q2</v>
      </c>
      <c r="AR4" s="11" t="str" cm="1">
        <f t="array" ref="AR4">YEAR(AR3)&amp;INDEX(TableYtd,MONTH(AR3),1)</f>
        <v>2022Mar</v>
      </c>
      <c r="AS4" s="11" t="str">
        <f t="shared" ref="AS4" si="25">YEAR(AS3)&amp;"Q"&amp;MONTH(AS3)/3</f>
        <v>2022Q1</v>
      </c>
    </row>
    <row r="5" spans="1:45" ht="14.25" customHeight="1" collapsed="1" x14ac:dyDescent="0.2">
      <c r="A5" s="232"/>
      <c r="C5" s="321"/>
    </row>
    <row r="6" spans="1:45" ht="17.399999999999999" x14ac:dyDescent="0.3">
      <c r="A6" s="232"/>
      <c r="C6" s="121" t="s">
        <v>222</v>
      </c>
      <c r="D6"/>
      <c r="E6" s="146">
        <f>DateRef</f>
        <v>45930</v>
      </c>
      <c r="F6" s="147"/>
      <c r="N6" s="121" t="s">
        <v>249</v>
      </c>
    </row>
    <row r="7" spans="1:45" ht="15.6" x14ac:dyDescent="0.3">
      <c r="A7" s="11"/>
      <c r="C7" s="176" t="s">
        <v>211</v>
      </c>
      <c r="D7"/>
      <c r="E7" s="242"/>
      <c r="F7" s="147"/>
    </row>
    <row r="8" spans="1:45" ht="27.75" customHeight="1" x14ac:dyDescent="0.25">
      <c r="A8" s="233" t="s">
        <v>175</v>
      </c>
      <c r="B8" s="2"/>
      <c r="C8" s="14" t="s">
        <v>127</v>
      </c>
      <c r="D8" s="74"/>
      <c r="E8" s="62" t="str">
        <f>"AuM 
"&amp;TEXT(DAY(E$1),"00")&amp;"."&amp;TEXT(MONTH(E$1),"00")&amp;"."&amp;YEAR(E$1)</f>
        <v>AuM 
30.09.2025</v>
      </c>
      <c r="F8" s="62" t="str">
        <f>"AuM 
"&amp;TEXT(DAY(F$1),"00")&amp;"."&amp;TEXT(MONTH(F$1),"00")&amp;"."&amp;YEAR(F$1)</f>
        <v>AuM 
30.09.2024</v>
      </c>
      <c r="G8" s="62" t="str">
        <f>"%ch. 
/ "&amp;TEXT(DAY(F$1),"00")&amp;"."&amp;TEXT(MONTH(F$1),"00")&amp;"."&amp;YEAR(F$1)</f>
        <v>%ch. 
/ 30.09.2024</v>
      </c>
      <c r="H8" s="62" t="str">
        <f>"AuM 
"&amp;TEXT(DAY(H$1),"00")&amp;"."&amp;TEXT(MONTH(H$1),"00")&amp;"."&amp;YEAR(H$1)</f>
        <v>AuM 
30.06.2025</v>
      </c>
      <c r="I8" s="62" t="str">
        <f>"%ch. 
/ "&amp;TEXT(DAY(H$1),"00")&amp;"."&amp;TEXT(MONTH(H$1),"00")&amp;"."&amp;YEAR(H$1)</f>
        <v>%ch. 
/ 30.06.2025</v>
      </c>
      <c r="K8" s="62" t="str">
        <f>"AuM 
"&amp;TEXT(DAY(K$1),"00")&amp;"."&amp;TEXT(MONTH(K$1),"00")&amp;"."&amp;YEAR(K$1)</f>
        <v>AuM 
31.12.2024</v>
      </c>
      <c r="L8" s="62" t="str">
        <f>"%ch. 
/ "&amp;TEXT(DAY(K$1),"00")&amp;"."&amp;TEXT(MONTH(K$1),"00")&amp;"."&amp;YEAR(K$1)</f>
        <v>%ch. 
/ 31.12.2024</v>
      </c>
      <c r="N8" s="62" t="str">
        <f t="shared" ref="N8" si="26">"AuM 
"&amp;TEXT(DAY(N$1),"00")&amp;"."&amp;TEXT(MONTH(N$1),"00")&amp;"."&amp;YEAR(N$1)</f>
        <v>AuM 
30.09.2025</v>
      </c>
      <c r="O8" s="108"/>
      <c r="P8" s="62" t="str">
        <f>"AuM 
"&amp;TEXT(DAY(P$1),"00")&amp;"."&amp;TEXT(MONTH(P$1),"00")&amp;"."&amp;YEAR(P$1)</f>
        <v>AuM 
30.06.2025</v>
      </c>
      <c r="Q8" s="108"/>
      <c r="R8" s="62" t="str">
        <f t="shared" ref="R8:AI8" si="27">"AuM 
"&amp;TEXT(DAY(R$1),"00")&amp;"."&amp;TEXT(MONTH(R$1),"00")&amp;"."&amp;YEAR(R$1)</f>
        <v>AuM 
31.03.2025</v>
      </c>
      <c r="S8" s="108"/>
      <c r="U8" s="62" t="str">
        <f t="shared" si="27"/>
        <v>AuM 
31.12.2024</v>
      </c>
      <c r="V8" s="108"/>
      <c r="W8" s="62" t="str">
        <f t="shared" si="27"/>
        <v>AuM 
30.09.2024</v>
      </c>
      <c r="X8" s="108"/>
      <c r="Y8" s="62" t="str">
        <f t="shared" si="27"/>
        <v>AuM 
30.06.2024</v>
      </c>
      <c r="Z8" s="108"/>
      <c r="AA8" s="62" t="str">
        <f t="shared" si="27"/>
        <v>AuM 
31.03.2024</v>
      </c>
      <c r="AC8" s="62" t="str">
        <f t="shared" si="27"/>
        <v>AuM 
31.12.2023</v>
      </c>
      <c r="AD8" s="108"/>
      <c r="AE8" s="62" t="str">
        <f t="shared" si="27"/>
        <v>AuM 
30.09.2023</v>
      </c>
      <c r="AF8" s="108"/>
      <c r="AG8" s="62" t="str">
        <f t="shared" si="27"/>
        <v>AuM 
30.06.2023</v>
      </c>
      <c r="AH8" s="108"/>
      <c r="AI8" s="62" t="str">
        <f t="shared" si="27"/>
        <v>AuM 
31.03.2023</v>
      </c>
      <c r="AJ8" s="108"/>
      <c r="AL8" s="62" t="str">
        <f t="shared" ref="AL8:AR8" si="28">"AuM 
"&amp;TEXT(DAY(AL$1),"00")&amp;"."&amp;TEXT(MONTH(AL$1),"00")&amp;"."&amp;YEAR(AL$1)</f>
        <v>AuM 
31.12.2022</v>
      </c>
      <c r="AM8" s="108"/>
      <c r="AN8" s="62" t="str">
        <f t="shared" si="28"/>
        <v>AuM 
30.09.2022</v>
      </c>
      <c r="AO8" s="108"/>
      <c r="AP8" s="62" t="str">
        <f t="shared" si="28"/>
        <v>AuM 
30.06.2022</v>
      </c>
      <c r="AQ8" s="108"/>
      <c r="AR8" s="62" t="str">
        <f t="shared" si="28"/>
        <v>AuM 
31.03.2022</v>
      </c>
      <c r="AS8" s="108"/>
    </row>
    <row r="9" spans="1:45" ht="15" customHeight="1" x14ac:dyDescent="0.2">
      <c r="A9" s="11" t="s">
        <v>276</v>
      </c>
      <c r="B9" s="2"/>
      <c r="C9" s="180" t="s">
        <v>133</v>
      </c>
      <c r="D9" s="74"/>
      <c r="E9" s="165">
        <v>591745399336.2738</v>
      </c>
      <c r="F9" s="165">
        <v>526607065670.4035</v>
      </c>
      <c r="G9" s="177">
        <f>IF(ISERROR($E9*F9),"NM",IF($E9*F9&gt;0,IF(E9/F9&gt;2,"NM",E9/F9-1),"NM"))</f>
        <v>0.12369437843175368</v>
      </c>
      <c r="H9" s="165">
        <v>555942125310.396</v>
      </c>
      <c r="I9" s="177">
        <f>IF(ISERROR($E9*H9),"NM",IF($E9*H9&gt;0,IF(E9/H9&gt;2,"NM",E9/H9-1),"NM"))</f>
        <v>6.440108132818323E-2</v>
      </c>
      <c r="K9" s="165">
        <v>544262050061.1521</v>
      </c>
      <c r="L9" s="177">
        <f t="shared" ref="L9:L23" si="29">IF(ISERROR($E9*K9),"NM",IF($E9*K9&gt;0,IF(E9/K9&gt;2,"NM",E9/K9-1),"NM"))</f>
        <v>8.7243542462287271E-2</v>
      </c>
      <c r="N9" s="165">
        <v>591745399336.2738</v>
      </c>
      <c r="O9" s="157"/>
      <c r="P9" s="165">
        <v>555942125310.396</v>
      </c>
      <c r="Q9" s="157"/>
      <c r="R9" s="165">
        <v>563801640214.54883</v>
      </c>
      <c r="S9" s="157"/>
      <c r="U9" s="165">
        <v>544262050061.1521</v>
      </c>
      <c r="V9" s="157"/>
      <c r="W9" s="165">
        <v>526607065670.4035</v>
      </c>
      <c r="X9" s="157"/>
      <c r="Y9" s="165">
        <v>514793548007.46368</v>
      </c>
      <c r="Z9" s="157"/>
      <c r="AA9" s="165">
        <v>504814300459.81677</v>
      </c>
      <c r="AC9" s="165">
        <v>466750052470.21222</v>
      </c>
      <c r="AD9" s="157"/>
      <c r="AE9" s="165">
        <v>442898410203.49872</v>
      </c>
      <c r="AF9" s="157"/>
      <c r="AG9" s="165">
        <v>439132975150.36407</v>
      </c>
      <c r="AH9" s="157"/>
      <c r="AI9" s="165">
        <v>425449371327.36035</v>
      </c>
      <c r="AJ9" s="157"/>
      <c r="AL9" s="165">
        <v>406343607753.39545</v>
      </c>
      <c r="AM9" s="157"/>
      <c r="AN9" s="165">
        <v>386583988582.00208</v>
      </c>
      <c r="AO9" s="157"/>
      <c r="AP9" s="165">
        <v>397838543359.15424</v>
      </c>
      <c r="AQ9" s="157"/>
      <c r="AR9" s="165">
        <v>435294356384.35645</v>
      </c>
      <c r="AS9" s="157"/>
    </row>
    <row r="10" spans="1:45" ht="12" x14ac:dyDescent="0.25">
      <c r="A10" s="11" t="s">
        <v>277</v>
      </c>
      <c r="B10" s="51"/>
      <c r="C10" s="180" t="s">
        <v>134</v>
      </c>
      <c r="D10" s="75"/>
      <c r="E10" s="165">
        <v>280285048585.6748</v>
      </c>
      <c r="F10" s="165">
        <v>273745886396.56006</v>
      </c>
      <c r="G10" s="177">
        <f t="shared" ref="G10:G23" si="30">IF(ISERROR($E10*F10),"NM",IF($E10*F10&gt;0,IF(E10/F10&gt;2,"NM",E10/F10-1),"NM"))</f>
        <v>2.3887709419829761E-2</v>
      </c>
      <c r="H10" s="165">
        <v>270201024410.61063</v>
      </c>
      <c r="I10" s="177">
        <f t="shared" ref="I10:I23" si="31">IF(ISERROR($E10*H10),"NM",IF($E10*H10&gt;0,IF(E10/H10&gt;2,"NM",E10/H10-1),"NM"))</f>
        <v>3.7320451308652247E-2</v>
      </c>
      <c r="K10" s="165">
        <v>274470900905.7702</v>
      </c>
      <c r="L10" s="177">
        <f t="shared" si="29"/>
        <v>2.1183111436285484E-2</v>
      </c>
      <c r="N10" s="165">
        <v>280285048585.6748</v>
      </c>
      <c r="O10" s="189"/>
      <c r="P10" s="165">
        <v>270201024410.61063</v>
      </c>
      <c r="Q10" s="189"/>
      <c r="R10" s="165">
        <v>271247502588.12479</v>
      </c>
      <c r="S10" s="189"/>
      <c r="U10" s="165">
        <v>274470900905.7702</v>
      </c>
      <c r="V10" s="189"/>
      <c r="W10" s="165">
        <v>273745886396.56006</v>
      </c>
      <c r="X10" s="189"/>
      <c r="Y10" s="165">
        <v>282383696599.45978</v>
      </c>
      <c r="Z10" s="189"/>
      <c r="AA10" s="165">
        <v>279788883679.65344</v>
      </c>
      <c r="AC10" s="165">
        <v>279437843957.21808</v>
      </c>
      <c r="AD10" s="189"/>
      <c r="AE10" s="165">
        <v>273818904677.50159</v>
      </c>
      <c r="AF10" s="189"/>
      <c r="AG10" s="165">
        <v>283963417508.90063</v>
      </c>
      <c r="AH10" s="189"/>
      <c r="AI10" s="165">
        <v>286019705146.13531</v>
      </c>
      <c r="AJ10" s="189"/>
      <c r="AL10" s="165">
        <v>286397460698.86169</v>
      </c>
      <c r="AM10" s="189"/>
      <c r="AN10" s="165">
        <v>287091143036.53931</v>
      </c>
      <c r="AO10" s="189"/>
      <c r="AP10" s="165">
        <v>299718533885.59088</v>
      </c>
      <c r="AQ10" s="189"/>
      <c r="AR10" s="165">
        <v>328433015224.07465</v>
      </c>
      <c r="AS10" s="189"/>
    </row>
    <row r="11" spans="1:45" x14ac:dyDescent="0.2">
      <c r="A11" s="11" t="s">
        <v>278</v>
      </c>
      <c r="B11" s="51"/>
      <c r="C11" s="180" t="s">
        <v>135</v>
      </c>
      <c r="D11" s="180"/>
      <c r="E11" s="165">
        <v>742098062662.55383</v>
      </c>
      <c r="F11" s="165">
        <v>732356014858.11487</v>
      </c>
      <c r="G11" s="177">
        <f t="shared" si="30"/>
        <v>1.3302338762557042E-2</v>
      </c>
      <c r="H11" s="165">
        <v>737086808529.75903</v>
      </c>
      <c r="I11" s="177">
        <f t="shared" si="31"/>
        <v>6.798729911868362E-3</v>
      </c>
      <c r="K11" s="165">
        <v>747292927642.25134</v>
      </c>
      <c r="L11" s="177">
        <f t="shared" si="29"/>
        <v>-6.9515778719967392E-3</v>
      </c>
      <c r="N11" s="165">
        <v>742098062662.55383</v>
      </c>
      <c r="O11" s="298"/>
      <c r="P11" s="165">
        <v>737086808529.75903</v>
      </c>
      <c r="Q11" s="298"/>
      <c r="R11" s="165">
        <v>758861655387.47937</v>
      </c>
      <c r="S11" s="298"/>
      <c r="U11" s="165">
        <v>747292927642.25134</v>
      </c>
      <c r="V11" s="298"/>
      <c r="W11" s="165">
        <v>732356014858.11487</v>
      </c>
      <c r="X11" s="298"/>
      <c r="Y11" s="165">
        <v>706442921583.06763</v>
      </c>
      <c r="Z11" s="298"/>
      <c r="AA11" s="165">
        <v>699762186037.66614</v>
      </c>
      <c r="AC11" s="165">
        <v>655962815246.11609</v>
      </c>
      <c r="AD11" s="298"/>
      <c r="AE11" s="165">
        <v>624123284025.93835</v>
      </c>
      <c r="AF11" s="298"/>
      <c r="AG11" s="165">
        <v>621384264906.65039</v>
      </c>
      <c r="AH11" s="298"/>
      <c r="AI11" s="165">
        <v>616104010489.38782</v>
      </c>
      <c r="AJ11" s="298"/>
      <c r="AL11" s="312">
        <v>603769483774.94592</v>
      </c>
      <c r="AM11" s="298"/>
      <c r="AN11" s="165">
        <v>609865660697.74158</v>
      </c>
      <c r="AO11" s="298"/>
      <c r="AP11" s="165">
        <v>619164536177.25513</v>
      </c>
      <c r="AQ11" s="298"/>
      <c r="AR11" s="165">
        <v>660904892992.15576</v>
      </c>
      <c r="AS11" s="298"/>
    </row>
    <row r="12" spans="1:45" ht="12" x14ac:dyDescent="0.25">
      <c r="A12" s="11"/>
      <c r="B12" s="51"/>
      <c r="C12" s="180" t="s">
        <v>136</v>
      </c>
      <c r="D12" s="196"/>
      <c r="E12" s="165">
        <f>SUM(E13:E15)</f>
        <v>106485274316.40916</v>
      </c>
      <c r="F12" s="165">
        <f>SUM(F13:F15)</f>
        <v>114059464891.80431</v>
      </c>
      <c r="G12" s="177">
        <f t="shared" si="30"/>
        <v>-6.6405629577343195E-2</v>
      </c>
      <c r="H12" s="165">
        <f>SUM(H13:H15)</f>
        <v>107909130524.57391</v>
      </c>
      <c r="I12" s="177">
        <f t="shared" si="31"/>
        <v>-1.319495580441632E-2</v>
      </c>
      <c r="K12" s="165">
        <f>SUM(K13:K15)</f>
        <v>114105717509.80377</v>
      </c>
      <c r="L12" s="177">
        <f t="shared" si="29"/>
        <v>-6.6784060954174995E-2</v>
      </c>
      <c r="N12" s="165">
        <f>SUM(N13:N15)</f>
        <v>106485274316.40916</v>
      </c>
      <c r="O12" s="298"/>
      <c r="P12" s="165">
        <f t="shared" ref="P12:AI12" si="32">SUM(P13:P15)</f>
        <v>107909130524.57391</v>
      </c>
      <c r="Q12" s="298"/>
      <c r="R12" s="165">
        <f t="shared" si="32"/>
        <v>110980500572.75638</v>
      </c>
      <c r="S12" s="298"/>
      <c r="U12" s="165">
        <f t="shared" ref="U12:W12" si="33">SUM(U13:U15)</f>
        <v>114105717509.80377</v>
      </c>
      <c r="V12" s="298"/>
      <c r="W12" s="165">
        <f t="shared" si="33"/>
        <v>114059464891.80431</v>
      </c>
      <c r="X12" s="298"/>
      <c r="Y12" s="165">
        <f t="shared" ref="Y12:AA12" si="34">SUM(Y13:Y15)</f>
        <v>112402977609.13123</v>
      </c>
      <c r="Z12" s="298"/>
      <c r="AA12" s="165">
        <f t="shared" si="34"/>
        <v>106519745671.85222</v>
      </c>
      <c r="AC12" s="165">
        <f t="shared" si="32"/>
        <v>107428789369.36713</v>
      </c>
      <c r="AD12" s="298"/>
      <c r="AE12" s="165">
        <f t="shared" si="32"/>
        <v>124396874919.55911</v>
      </c>
      <c r="AF12" s="298"/>
      <c r="AG12" s="165">
        <f t="shared" si="32"/>
        <v>126835264420.58032</v>
      </c>
      <c r="AH12" s="298"/>
      <c r="AI12" s="165">
        <f t="shared" si="32"/>
        <v>125489234125.03464</v>
      </c>
      <c r="AJ12" s="298"/>
      <c r="AL12" s="165">
        <f>SUM(AL13:AL15)</f>
        <v>125057436354.35623</v>
      </c>
      <c r="AM12" s="298"/>
      <c r="AN12" s="165">
        <f t="shared" ref="AN12" si="35">SUM(AN13:AN15)</f>
        <v>125808273253.54214</v>
      </c>
      <c r="AO12" s="298"/>
      <c r="AP12" s="165">
        <f t="shared" ref="AP12" si="36">SUM(AP13:AP15)</f>
        <v>125268178638.97679</v>
      </c>
      <c r="AQ12" s="298"/>
      <c r="AR12" s="165">
        <f t="shared" ref="AR12" si="37">SUM(AR13:AR15)</f>
        <v>124764976842.05435</v>
      </c>
      <c r="AS12" s="298"/>
    </row>
    <row r="13" spans="1:45" x14ac:dyDescent="0.2">
      <c r="A13" s="11" t="s">
        <v>279</v>
      </c>
      <c r="B13" s="51"/>
      <c r="C13" s="98" t="s">
        <v>137</v>
      </c>
      <c r="D13" s="77"/>
      <c r="E13" s="293">
        <v>62490708206.130051</v>
      </c>
      <c r="F13" s="293">
        <v>66504928493.88002</v>
      </c>
      <c r="G13" s="294">
        <f t="shared" si="30"/>
        <v>-6.0359741430582425E-2</v>
      </c>
      <c r="H13" s="293">
        <v>62984300917.360046</v>
      </c>
      <c r="I13" s="294">
        <f t="shared" si="31"/>
        <v>-7.8367577958454726E-3</v>
      </c>
      <c r="K13" s="293">
        <v>66300342746.970001</v>
      </c>
      <c r="L13" s="294">
        <f t="shared" si="29"/>
        <v>-5.7460254095203056E-2</v>
      </c>
      <c r="N13" s="293">
        <v>62490708206.130051</v>
      </c>
      <c r="O13" s="295"/>
      <c r="P13" s="293">
        <v>62984300917.360046</v>
      </c>
      <c r="Q13" s="295"/>
      <c r="R13" s="293">
        <v>64718147147.51001</v>
      </c>
      <c r="S13" s="295"/>
      <c r="U13" s="293">
        <v>66300342746.970001</v>
      </c>
      <c r="V13" s="295"/>
      <c r="W13" s="293">
        <v>66504928493.88002</v>
      </c>
      <c r="X13" s="295"/>
      <c r="Y13" s="293">
        <v>66577503810.109985</v>
      </c>
      <c r="Z13" s="295"/>
      <c r="AA13" s="293">
        <v>61179547356.049995</v>
      </c>
      <c r="AC13" s="293">
        <v>62923767116.439972</v>
      </c>
      <c r="AD13" s="295"/>
      <c r="AE13" s="293">
        <v>63482532388.650047</v>
      </c>
      <c r="AF13" s="295"/>
      <c r="AG13" s="293">
        <v>65751905135.009979</v>
      </c>
      <c r="AH13" s="295"/>
      <c r="AI13" s="293">
        <v>65992310685.550034</v>
      </c>
      <c r="AJ13" s="295"/>
      <c r="AL13" s="293">
        <v>66566963632.149971</v>
      </c>
      <c r="AM13" s="295"/>
      <c r="AN13" s="293">
        <v>66279819621.249954</v>
      </c>
      <c r="AO13" s="295"/>
      <c r="AP13" s="293">
        <v>66041846037.652718</v>
      </c>
      <c r="AQ13" s="295"/>
      <c r="AR13" s="293">
        <v>66234066637.529991</v>
      </c>
      <c r="AS13" s="295"/>
    </row>
    <row r="14" spans="1:45" x14ac:dyDescent="0.2">
      <c r="A14" s="11" t="s">
        <v>280</v>
      </c>
      <c r="B14" s="51"/>
      <c r="C14" s="98" t="s">
        <v>138</v>
      </c>
      <c r="D14" s="180"/>
      <c r="E14" s="293">
        <v>3489039795.5300007</v>
      </c>
      <c r="F14" s="293">
        <v>4130725874.0499997</v>
      </c>
      <c r="G14" s="294">
        <f t="shared" si="30"/>
        <v>-0.15534462902784041</v>
      </c>
      <c r="H14" s="293">
        <v>3515844234.21</v>
      </c>
      <c r="I14" s="294">
        <f t="shared" si="31"/>
        <v>-7.6238982430409941E-3</v>
      </c>
      <c r="K14" s="293">
        <v>4044836196.9400015</v>
      </c>
      <c r="L14" s="294">
        <f t="shared" si="29"/>
        <v>-0.13740887747950625</v>
      </c>
      <c r="N14" s="293">
        <v>3489039795.5300007</v>
      </c>
      <c r="O14" s="296"/>
      <c r="P14" s="293">
        <v>3515844234.21</v>
      </c>
      <c r="Q14" s="296"/>
      <c r="R14" s="293">
        <v>3911818899.3200006</v>
      </c>
      <c r="S14" s="296"/>
      <c r="U14" s="293">
        <v>4044836196.9400015</v>
      </c>
      <c r="V14" s="296"/>
      <c r="W14" s="293">
        <v>4130725874.0499997</v>
      </c>
      <c r="X14" s="296"/>
      <c r="Y14" s="293">
        <v>4309753036.9800005</v>
      </c>
      <c r="Z14" s="296"/>
      <c r="AA14" s="293">
        <v>4487659522.7600031</v>
      </c>
      <c r="AC14" s="293">
        <v>5061502815.1800003</v>
      </c>
      <c r="AD14" s="296"/>
      <c r="AE14" s="293">
        <v>25421847685.540005</v>
      </c>
      <c r="AF14" s="296"/>
      <c r="AG14" s="293">
        <v>25285226057.909981</v>
      </c>
      <c r="AH14" s="296"/>
      <c r="AI14" s="293">
        <v>26011391011.589996</v>
      </c>
      <c r="AJ14" s="296"/>
      <c r="AL14" s="293">
        <v>27113066452.219997</v>
      </c>
      <c r="AM14" s="296"/>
      <c r="AN14" s="293">
        <v>31706183201.940002</v>
      </c>
      <c r="AO14" s="296"/>
      <c r="AP14" s="293">
        <v>30805779923.330025</v>
      </c>
      <c r="AQ14" s="296"/>
      <c r="AR14" s="293">
        <v>26930010348.18</v>
      </c>
      <c r="AS14" s="296"/>
    </row>
    <row r="15" spans="1:45" ht="12" x14ac:dyDescent="0.2">
      <c r="A15" s="11" t="s">
        <v>281</v>
      </c>
      <c r="B15" s="51"/>
      <c r="C15" s="98" t="s">
        <v>139</v>
      </c>
      <c r="D15" s="74"/>
      <c r="E15" s="293">
        <v>40505526314.749115</v>
      </c>
      <c r="F15" s="293">
        <v>43423810523.874283</v>
      </c>
      <c r="G15" s="294">
        <f t="shared" si="30"/>
        <v>-6.7204701151703516E-2</v>
      </c>
      <c r="H15" s="293">
        <v>41408985373.003876</v>
      </c>
      <c r="I15" s="294">
        <f t="shared" si="31"/>
        <v>-2.1817947243009783E-2</v>
      </c>
      <c r="K15" s="293">
        <v>43760538565.893768</v>
      </c>
      <c r="L15" s="294">
        <f t="shared" si="29"/>
        <v>-7.438236269060805E-2</v>
      </c>
      <c r="N15" s="293">
        <v>40505526314.749115</v>
      </c>
      <c r="O15" s="297"/>
      <c r="P15" s="293">
        <v>41408985373.003876</v>
      </c>
      <c r="Q15" s="297"/>
      <c r="R15" s="293">
        <v>42350534525.926369</v>
      </c>
      <c r="S15" s="297"/>
      <c r="U15" s="293">
        <v>43760538565.893768</v>
      </c>
      <c r="V15" s="297"/>
      <c r="W15" s="293">
        <v>43423810523.874283</v>
      </c>
      <c r="X15" s="297"/>
      <c r="Y15" s="293">
        <v>41515720762.041245</v>
      </c>
      <c r="Z15" s="297"/>
      <c r="AA15" s="293">
        <v>40852538793.042221</v>
      </c>
      <c r="AC15" s="293">
        <v>39443519437.747162</v>
      </c>
      <c r="AD15" s="297"/>
      <c r="AE15" s="293">
        <v>35492494845.369064</v>
      </c>
      <c r="AF15" s="297"/>
      <c r="AG15" s="293">
        <v>35798133227.66037</v>
      </c>
      <c r="AH15" s="297"/>
      <c r="AI15" s="293">
        <v>33485532427.894604</v>
      </c>
      <c r="AJ15" s="297"/>
      <c r="AL15" s="293">
        <v>31377406269.986267</v>
      </c>
      <c r="AM15" s="297"/>
      <c r="AN15" s="293">
        <v>27822270430.352188</v>
      </c>
      <c r="AO15" s="297"/>
      <c r="AP15" s="293">
        <v>28420552677.994049</v>
      </c>
      <c r="AQ15" s="297"/>
      <c r="AR15" s="293">
        <v>31600899856.34436</v>
      </c>
      <c r="AS15" s="297"/>
    </row>
    <row r="16" spans="1:45" ht="15" customHeight="1" x14ac:dyDescent="0.25">
      <c r="A16" s="50" t="s">
        <v>282</v>
      </c>
      <c r="B16" s="51"/>
      <c r="C16" s="96" t="s">
        <v>241</v>
      </c>
      <c r="D16" s="180"/>
      <c r="E16" s="185">
        <v>1720617741948.7727</v>
      </c>
      <c r="F16" s="185">
        <v>1646768431816.884</v>
      </c>
      <c r="G16" s="192">
        <f t="shared" si="30"/>
        <v>4.4844987737839181E-2</v>
      </c>
      <c r="H16" s="185">
        <v>1671139088775.3384</v>
      </c>
      <c r="I16" s="192">
        <f t="shared" si="31"/>
        <v>2.9607740915026826E-2</v>
      </c>
      <c r="K16" s="185">
        <v>1680131596118.9773</v>
      </c>
      <c r="L16" s="192">
        <f t="shared" si="29"/>
        <v>2.4097008783904972E-2</v>
      </c>
      <c r="N16" s="185">
        <v>1720617741948.7727</v>
      </c>
      <c r="O16" s="298"/>
      <c r="P16" s="185">
        <v>1671139088775.3384</v>
      </c>
      <c r="Q16" s="298"/>
      <c r="R16" s="185">
        <v>1704891298762.9094</v>
      </c>
      <c r="S16" s="298"/>
      <c r="U16" s="185">
        <v>1680131596118.9773</v>
      </c>
      <c r="V16" s="298"/>
      <c r="W16" s="185">
        <v>1646768431816.884</v>
      </c>
      <c r="X16" s="298"/>
      <c r="Y16" s="185">
        <v>1616023143799.1211</v>
      </c>
      <c r="Z16" s="298"/>
      <c r="AA16" s="185">
        <v>1590885115848.9893</v>
      </c>
      <c r="AC16" s="185">
        <v>1509579501042.9128</v>
      </c>
      <c r="AD16" s="298"/>
      <c r="AE16" s="185">
        <v>1465237473826.498</v>
      </c>
      <c r="AF16" s="298"/>
      <c r="AG16" s="185">
        <v>1471315921986.4961</v>
      </c>
      <c r="AH16" s="298"/>
      <c r="AI16" s="185">
        <v>1453062321087.9192</v>
      </c>
      <c r="AJ16" s="298"/>
      <c r="AL16" s="185">
        <v>1423035841903.688</v>
      </c>
      <c r="AM16" s="298"/>
      <c r="AN16" s="185">
        <v>1411031509357.2563</v>
      </c>
      <c r="AO16" s="298"/>
      <c r="AP16" s="185">
        <v>1443517196794.4668</v>
      </c>
      <c r="AQ16" s="298"/>
      <c r="AR16" s="185">
        <v>1550766824322.0237</v>
      </c>
      <c r="AS16" s="298"/>
    </row>
    <row r="17" spans="1:45" ht="15" customHeight="1" x14ac:dyDescent="0.25">
      <c r="A17" s="50" t="s">
        <v>283</v>
      </c>
      <c r="B17" s="51"/>
      <c r="C17" s="325" t="s">
        <v>140</v>
      </c>
      <c r="D17" s="180"/>
      <c r="E17" s="186">
        <v>182750807563.39999</v>
      </c>
      <c r="F17" s="186">
        <v>185261465479.37</v>
      </c>
      <c r="G17" s="177">
        <f t="shared" si="30"/>
        <v>-1.3551970505434552E-2</v>
      </c>
      <c r="H17" s="186">
        <v>179700776143.87003</v>
      </c>
      <c r="I17" s="177">
        <f t="shared" si="31"/>
        <v>1.6972833868497572E-2</v>
      </c>
      <c r="K17" s="186">
        <v>188068188727.23004</v>
      </c>
      <c r="L17" s="177">
        <f t="shared" si="29"/>
        <v>-2.8273687324879115E-2</v>
      </c>
      <c r="N17" s="186">
        <v>182750807563.39999</v>
      </c>
      <c r="O17" s="299"/>
      <c r="P17" s="186">
        <v>179700776143.87003</v>
      </c>
      <c r="Q17" s="299"/>
      <c r="R17" s="186">
        <v>180387683773.45007</v>
      </c>
      <c r="S17" s="299"/>
      <c r="U17" s="186">
        <v>188068188727.23004</v>
      </c>
      <c r="V17" s="299"/>
      <c r="W17" s="186">
        <v>185261465479.37</v>
      </c>
      <c r="X17" s="299"/>
      <c r="Y17" s="186">
        <v>183601233252.18002</v>
      </c>
      <c r="Z17" s="299"/>
      <c r="AA17" s="186">
        <v>192837553696.13</v>
      </c>
      <c r="AC17" s="186">
        <v>211191644135.60001</v>
      </c>
      <c r="AD17" s="299"/>
      <c r="AE17" s="186">
        <v>198111746032.96997</v>
      </c>
      <c r="AF17" s="299"/>
      <c r="AG17" s="186">
        <v>192476727262.19</v>
      </c>
      <c r="AH17" s="299"/>
      <c r="AI17" s="186">
        <v>188519030714.36005</v>
      </c>
      <c r="AJ17" s="299"/>
      <c r="AL17" s="186">
        <v>185435477118.46997</v>
      </c>
      <c r="AM17" s="299"/>
      <c r="AN17" s="186">
        <v>164740480123.72992</v>
      </c>
      <c r="AO17" s="299"/>
      <c r="AP17" s="186">
        <v>172841069594.43985</v>
      </c>
      <c r="AQ17" s="299"/>
      <c r="AR17" s="186">
        <v>174174104918.28</v>
      </c>
      <c r="AS17" s="299"/>
    </row>
    <row r="18" spans="1:45" ht="15" customHeight="1" x14ac:dyDescent="0.25">
      <c r="A18" s="50" t="s">
        <v>284</v>
      </c>
      <c r="B18" s="51"/>
      <c r="C18" s="90" t="s">
        <v>242</v>
      </c>
      <c r="D18" s="180"/>
      <c r="E18" s="187">
        <v>1903368549512.1721</v>
      </c>
      <c r="F18" s="187">
        <v>1832029897296.2542</v>
      </c>
      <c r="G18" s="188">
        <f t="shared" si="30"/>
        <v>3.8939676869466533E-2</v>
      </c>
      <c r="H18" s="187">
        <v>1850839864919.209</v>
      </c>
      <c r="I18" s="188">
        <f t="shared" si="31"/>
        <v>2.8380999128336803E-2</v>
      </c>
      <c r="K18" s="187">
        <v>1868199784846.207</v>
      </c>
      <c r="L18" s="188">
        <f t="shared" si="29"/>
        <v>1.8824948461740876E-2</v>
      </c>
      <c r="N18" s="187">
        <v>1903368549512.1721</v>
      </c>
      <c r="O18" s="298"/>
      <c r="P18" s="187">
        <v>1850839864919.209</v>
      </c>
      <c r="Q18" s="298"/>
      <c r="R18" s="187">
        <v>1885278982536.3594</v>
      </c>
      <c r="S18" s="298"/>
      <c r="U18" s="187">
        <v>1868199784846.207</v>
      </c>
      <c r="V18" s="298"/>
      <c r="W18" s="187">
        <v>1832029897296.2542</v>
      </c>
      <c r="X18" s="298"/>
      <c r="Y18" s="187">
        <v>1799624377051.3018</v>
      </c>
      <c r="Z18" s="298"/>
      <c r="AA18" s="187">
        <v>1783722669545.1191</v>
      </c>
      <c r="AC18" s="187">
        <v>1720771145178.5132</v>
      </c>
      <c r="AD18" s="298"/>
      <c r="AE18" s="187">
        <v>1663349219859.4678</v>
      </c>
      <c r="AF18" s="298"/>
      <c r="AG18" s="187">
        <v>1663792649248.6863</v>
      </c>
      <c r="AH18" s="298"/>
      <c r="AI18" s="187">
        <v>1641581351802.2793</v>
      </c>
      <c r="AJ18" s="298"/>
      <c r="AL18" s="187">
        <v>1608471319022.1594</v>
      </c>
      <c r="AM18" s="298"/>
      <c r="AN18" s="187">
        <v>1575771989480.9858</v>
      </c>
      <c r="AO18" s="298"/>
      <c r="AP18" s="187">
        <v>1616358266388.9072</v>
      </c>
      <c r="AQ18" s="298"/>
      <c r="AR18" s="187">
        <v>1724940929240.304</v>
      </c>
      <c r="AS18" s="298"/>
    </row>
    <row r="19" spans="1:45" ht="15" customHeight="1" x14ac:dyDescent="0.25">
      <c r="A19" s="50" t="s">
        <v>143</v>
      </c>
      <c r="B19" s="51"/>
      <c r="C19" s="181" t="s">
        <v>124</v>
      </c>
      <c r="D19" s="180"/>
      <c r="E19" s="189">
        <v>354217669453.65009</v>
      </c>
      <c r="F19" s="189">
        <v>359515336124.71002</v>
      </c>
      <c r="G19" s="190">
        <f t="shared" si="30"/>
        <v>-1.4735579094245499E-2</v>
      </c>
      <c r="H19" s="189">
        <v>358647282110.56989</v>
      </c>
      <c r="I19" s="190">
        <f t="shared" si="31"/>
        <v>-1.2350888680523031E-2</v>
      </c>
      <c r="K19" s="189">
        <v>371866583611.28998</v>
      </c>
      <c r="L19" s="190">
        <f t="shared" si="29"/>
        <v>-4.7460339098627347E-2</v>
      </c>
      <c r="N19" s="189">
        <v>354217669453.65009</v>
      </c>
      <c r="O19" s="298"/>
      <c r="P19" s="189">
        <v>358647282110.56989</v>
      </c>
      <c r="Q19" s="298"/>
      <c r="R19" s="189">
        <v>361907983965.75989</v>
      </c>
      <c r="S19" s="298"/>
      <c r="U19" s="189">
        <v>371866583611.28998</v>
      </c>
      <c r="V19" s="298"/>
      <c r="W19" s="189">
        <v>359515336124.71002</v>
      </c>
      <c r="X19" s="298"/>
      <c r="Y19" s="189">
        <v>356473313722.65002</v>
      </c>
      <c r="Z19" s="298"/>
      <c r="AA19" s="189">
        <v>332422357804.55005</v>
      </c>
      <c r="AC19" s="189">
        <v>315816888391.16998</v>
      </c>
      <c r="AD19" s="298"/>
      <c r="AE19" s="189">
        <v>309955173475.96002</v>
      </c>
      <c r="AF19" s="298"/>
      <c r="AG19" s="189">
        <v>297524252204.77997</v>
      </c>
      <c r="AH19" s="298"/>
      <c r="AI19" s="189">
        <v>292280230427.79004</v>
      </c>
      <c r="AJ19" s="298"/>
      <c r="AL19" s="189">
        <v>295523324263.78986</v>
      </c>
      <c r="AM19" s="298"/>
      <c r="AN19" s="189">
        <v>319492469047.81995</v>
      </c>
      <c r="AO19" s="298"/>
      <c r="AP19" s="189">
        <v>308172341613.13995</v>
      </c>
      <c r="AQ19" s="298"/>
      <c r="AR19" s="189">
        <v>295519979637.00006</v>
      </c>
      <c r="AS19" s="298"/>
    </row>
    <row r="20" spans="1:45" ht="15" customHeight="1" x14ac:dyDescent="0.25">
      <c r="A20" s="331" t="s">
        <v>292</v>
      </c>
      <c r="B20" s="51"/>
      <c r="C20" s="90" t="s">
        <v>296</v>
      </c>
      <c r="D20" s="180"/>
      <c r="E20" s="166">
        <v>59841953482.980087</v>
      </c>
      <c r="F20" s="166">
        <v>0</v>
      </c>
      <c r="G20" s="190" t="str">
        <f t="shared" ref="G20" si="38">IF(ISERROR($E20*F20),"NM",IF($E20*F20&gt;0,IF(E20/F20&gt;2,"NM",E20/F20-1),"NM"))</f>
        <v>NM</v>
      </c>
      <c r="H20" s="166">
        <v>57651667751.002541</v>
      </c>
      <c r="I20" s="190">
        <f t="shared" ref="I20" si="39">IF(ISERROR($E20*H20),"NM",IF($E20*H20&gt;0,IF(E20/H20&gt;2,"NM",E20/H20-1),"NM"))</f>
        <v>3.7991715026135742E-2</v>
      </c>
      <c r="K20" s="189" t="s">
        <v>331</v>
      </c>
      <c r="L20" s="190" t="str">
        <f t="shared" ref="L20" si="40">IF(ISERROR($E20*K20),"NM",IF($E20*K20&gt;0,IF(E20/K20&gt;2,"NM",E20/K20-1),"NM"))</f>
        <v>NM</v>
      </c>
      <c r="N20" s="166">
        <v>59841953482.980087</v>
      </c>
      <c r="O20" s="298"/>
      <c r="P20" s="166">
        <v>57651667751.002541</v>
      </c>
      <c r="Q20" s="298"/>
      <c r="R20" s="166">
        <v>0</v>
      </c>
      <c r="S20" s="298"/>
      <c r="U20" s="166">
        <v>0</v>
      </c>
      <c r="V20" s="298"/>
      <c r="W20" s="166">
        <v>0</v>
      </c>
      <c r="X20" s="298"/>
      <c r="Y20" s="166">
        <v>0</v>
      </c>
      <c r="Z20" s="298"/>
      <c r="AA20" s="166">
        <v>0</v>
      </c>
      <c r="AC20" s="166">
        <v>0</v>
      </c>
      <c r="AD20" s="298"/>
      <c r="AE20" s="166">
        <v>0</v>
      </c>
      <c r="AF20" s="298"/>
      <c r="AG20" s="166">
        <v>0</v>
      </c>
      <c r="AH20" s="298"/>
      <c r="AI20" s="166">
        <v>0</v>
      </c>
      <c r="AJ20" s="298"/>
      <c r="AL20" s="166">
        <v>0</v>
      </c>
      <c r="AM20" s="298"/>
      <c r="AN20" s="166">
        <v>0</v>
      </c>
      <c r="AO20" s="298"/>
      <c r="AP20" s="166">
        <v>0</v>
      </c>
      <c r="AQ20" s="298"/>
      <c r="AR20" s="166">
        <v>0</v>
      </c>
      <c r="AS20" s="298"/>
    </row>
    <row r="21" spans="1:45" ht="18" customHeight="1" x14ac:dyDescent="0.2">
      <c r="A21" s="50" t="s">
        <v>130</v>
      </c>
      <c r="B21" s="51"/>
      <c r="C21" s="256" t="s">
        <v>130</v>
      </c>
      <c r="D21" s="180"/>
      <c r="E21" s="191">
        <v>2317428172448.8022</v>
      </c>
      <c r="F21" s="191">
        <v>2191545233420.9641</v>
      </c>
      <c r="G21" s="198">
        <f t="shared" si="30"/>
        <v>5.7440265027675075E-2</v>
      </c>
      <c r="H21" s="191">
        <v>2267138814780.7813</v>
      </c>
      <c r="I21" s="198">
        <f t="shared" si="31"/>
        <v>2.2181860828351496E-2</v>
      </c>
      <c r="K21" s="191">
        <v>2240066368457.4971</v>
      </c>
      <c r="L21" s="198">
        <f t="shared" si="29"/>
        <v>3.4535496394500154E-2</v>
      </c>
      <c r="N21" s="257">
        <v>2317428172448.8022</v>
      </c>
      <c r="O21" s="255"/>
      <c r="P21" s="257">
        <v>2267138814780.7813</v>
      </c>
      <c r="Q21" s="255"/>
      <c r="R21" s="257">
        <v>2247186966502.1191</v>
      </c>
      <c r="S21" s="255"/>
      <c r="U21" s="257">
        <v>2240066368457.4971</v>
      </c>
      <c r="V21" s="255"/>
      <c r="W21" s="257">
        <v>2191545233420.9641</v>
      </c>
      <c r="X21" s="255"/>
      <c r="Y21" s="257">
        <v>2156097690773.9517</v>
      </c>
      <c r="Z21" s="255"/>
      <c r="AA21" s="257">
        <v>2116145027349.6692</v>
      </c>
      <c r="AC21" s="257">
        <v>2036588033569.6831</v>
      </c>
      <c r="AD21" s="255"/>
      <c r="AE21" s="257">
        <v>1973304393335.4277</v>
      </c>
      <c r="AF21" s="255"/>
      <c r="AG21" s="257">
        <v>1961316901453.4663</v>
      </c>
      <c r="AH21" s="255"/>
      <c r="AI21" s="257">
        <v>1933861582230.0693</v>
      </c>
      <c r="AJ21" s="255"/>
      <c r="AL21" s="257">
        <v>1903994643285.9492</v>
      </c>
      <c r="AM21" s="255"/>
      <c r="AN21" s="257">
        <v>1895264458528.8057</v>
      </c>
      <c r="AO21" s="255"/>
      <c r="AP21" s="257">
        <v>1924530608002.0471</v>
      </c>
      <c r="AQ21" s="255"/>
      <c r="AR21" s="257">
        <v>2020460908877.304</v>
      </c>
      <c r="AS21" s="255"/>
    </row>
    <row r="22" spans="1:45" ht="15" customHeight="1" x14ac:dyDescent="0.2">
      <c r="A22" s="50" t="s">
        <v>144</v>
      </c>
      <c r="B22" s="51"/>
      <c r="C22" s="237" t="s">
        <v>141</v>
      </c>
      <c r="D22" s="238"/>
      <c r="E22" s="258">
        <v>2098115521320.6582</v>
      </c>
      <c r="F22" s="258">
        <v>1972562958924.2537</v>
      </c>
      <c r="G22" s="261">
        <f t="shared" si="30"/>
        <v>6.3649457589366465E-2</v>
      </c>
      <c r="H22" s="258">
        <v>2050728012163.6155</v>
      </c>
      <c r="I22" s="261">
        <f t="shared" si="31"/>
        <v>2.3107651953828245E-2</v>
      </c>
      <c r="K22" s="258">
        <v>2018497940384.2974</v>
      </c>
      <c r="L22" s="261">
        <f t="shared" si="29"/>
        <v>3.9443974325385156E-2</v>
      </c>
      <c r="M22" s="1"/>
      <c r="N22" s="258">
        <v>2098115521320.6582</v>
      </c>
      <c r="O22" s="259"/>
      <c r="P22" s="258">
        <v>2050728012163.6155</v>
      </c>
      <c r="Q22" s="259"/>
      <c r="R22" s="258">
        <v>2034130746790.0405</v>
      </c>
      <c r="S22" s="259"/>
      <c r="T22" s="1"/>
      <c r="U22" s="258">
        <v>2018497940384.2974</v>
      </c>
      <c r="V22" s="259"/>
      <c r="W22" s="258">
        <v>1972562958924.2537</v>
      </c>
      <c r="X22" s="259"/>
      <c r="Y22" s="258">
        <v>1937658057005.0933</v>
      </c>
      <c r="Z22" s="259"/>
      <c r="AA22" s="258">
        <v>1891665804564.3884</v>
      </c>
      <c r="AB22" s="1"/>
      <c r="AC22" s="239">
        <v>1794111860643.1135</v>
      </c>
      <c r="AD22" s="240"/>
      <c r="AE22" s="239">
        <v>1744750109891.6975</v>
      </c>
      <c r="AF22" s="240"/>
      <c r="AG22" s="239">
        <v>1738081600695.6965</v>
      </c>
      <c r="AH22" s="240"/>
      <c r="AI22" s="239">
        <v>1716267505226.1885</v>
      </c>
      <c r="AJ22" s="240"/>
      <c r="AK22" s="1"/>
      <c r="AL22" s="239">
        <v>1687978815022.9092</v>
      </c>
      <c r="AM22" s="240"/>
      <c r="AN22" s="239">
        <v>1696677294536.3848</v>
      </c>
      <c r="AO22" s="240"/>
      <c r="AP22" s="239">
        <v>1714922198139.8867</v>
      </c>
      <c r="AQ22" s="240"/>
      <c r="AR22" s="239">
        <v>1811889058893.5115</v>
      </c>
      <c r="AS22" s="240"/>
    </row>
    <row r="23" spans="1:45" ht="15" customHeight="1" x14ac:dyDescent="0.2">
      <c r="A23" s="50" t="s">
        <v>145</v>
      </c>
      <c r="B23" s="51"/>
      <c r="C23" s="237" t="s">
        <v>142</v>
      </c>
      <c r="D23" s="238"/>
      <c r="E23" s="258">
        <v>219312651128.14392</v>
      </c>
      <c r="F23" s="258">
        <v>218982274496.70999</v>
      </c>
      <c r="G23" s="261">
        <f t="shared" si="30"/>
        <v>1.5086912043142942E-3</v>
      </c>
      <c r="H23" s="258">
        <v>216410802617.16531</v>
      </c>
      <c r="I23" s="261">
        <f t="shared" si="31"/>
        <v>1.3408981787808472E-2</v>
      </c>
      <c r="K23" s="258">
        <v>221568428073.20013</v>
      </c>
      <c r="L23" s="261">
        <f t="shared" si="29"/>
        <v>-1.0180949355794389E-2</v>
      </c>
      <c r="M23" s="1"/>
      <c r="N23" s="258">
        <v>219312651128.14392</v>
      </c>
      <c r="O23" s="260"/>
      <c r="P23" s="258">
        <v>216410802617.16531</v>
      </c>
      <c r="Q23" s="260"/>
      <c r="R23" s="258">
        <v>213056219712.08023</v>
      </c>
      <c r="S23" s="260"/>
      <c r="T23" s="1"/>
      <c r="U23" s="258">
        <v>221568428073.20013</v>
      </c>
      <c r="V23" s="260"/>
      <c r="W23" s="258">
        <v>218982274496.70999</v>
      </c>
      <c r="X23" s="260"/>
      <c r="Y23" s="258">
        <v>218439633768.86008</v>
      </c>
      <c r="Z23" s="260"/>
      <c r="AA23" s="258">
        <v>224479222785.28</v>
      </c>
      <c r="AB23" s="1"/>
      <c r="AC23" s="239">
        <v>242476172926.57013</v>
      </c>
      <c r="AD23" s="241"/>
      <c r="AE23" s="239">
        <v>228554283443.72995</v>
      </c>
      <c r="AF23" s="241"/>
      <c r="AG23" s="239">
        <v>223235300757.77008</v>
      </c>
      <c r="AH23" s="241"/>
      <c r="AI23" s="239">
        <v>217594077003.8801</v>
      </c>
      <c r="AJ23" s="241"/>
      <c r="AK23" s="1"/>
      <c r="AL23" s="239">
        <v>216015828263.03973</v>
      </c>
      <c r="AM23" s="241"/>
      <c r="AN23" s="239">
        <v>198587163992.41995</v>
      </c>
      <c r="AO23" s="241"/>
      <c r="AP23" s="239">
        <v>209608409862.1597</v>
      </c>
      <c r="AQ23" s="241"/>
      <c r="AR23" s="239">
        <v>208571849983.78998</v>
      </c>
      <c r="AS23" s="241"/>
    </row>
    <row r="24" spans="1:45" hidden="1" outlineLevel="1" x14ac:dyDescent="0.2">
      <c r="A24" s="50"/>
      <c r="B24" s="2"/>
      <c r="C24" s="63"/>
      <c r="D24" s="74"/>
      <c r="E24" s="348">
        <f>ROUND(E21-SUM(E9:E12,E17,E19,E20)+E12-SUM(E13:E15)+E21-(E16+E17+E19+E20)+E21-(E18+E19+E20),3)</f>
        <v>3957047.86</v>
      </c>
      <c r="F24" s="272">
        <f>ROUND(F21-SUM(F9:F12,F17,F19,F20)+F12-SUM(F13:F15)+F21-(F16+F17+F19+F20)+F21-(F18+F19+F20),3)</f>
        <v>1E-3</v>
      </c>
      <c r="H24" s="272">
        <f>ROUND(H21-SUM(H9:H12,H17,H19,H20)+H12-SUM(H13:H15)+H21-(H16+H17+H19+H20)+H21-(H18+H19+H20),3)</f>
        <v>0</v>
      </c>
      <c r="K24" s="272">
        <f>ROUND(K21-SUM(K9:K12,K17,K19)+K12-SUM(K13:K15)+K21-(K16+K17+K19)+K21-(K18+K19),3)</f>
        <v>0</v>
      </c>
      <c r="N24" s="272">
        <f>ROUND(N21-SUM(N9:N12,N17,N19,N20)+N12-SUM(N13:N15)+N21-(N16+N17+N19+N20)+N21-(N18+N19+N20),3)</f>
        <v>3957047.86</v>
      </c>
      <c r="P24" s="272">
        <f>ROUND(P21-SUM(P9:P12,P17,P19,P20)+P12-SUM(P13:P15)+P21-(P16+P17+P19+P20)+P21-(P18+P19+P20),3)</f>
        <v>0</v>
      </c>
      <c r="R24" s="272">
        <f>ROUND(R21-SUM(R9:R12,R17,R19,R20)+R12-SUM(R13:R15)+R21-(R16+R17+R19+R20)+R21-(R18+R19+R20),3)</f>
        <v>0</v>
      </c>
      <c r="U24" s="272">
        <f>ROUND(U21-SUM(U9:U12,U17,U19,U20)+U12-SUM(U13:U15)+U21-(U16+U17+U19+U20)+U21-(U18+U19+U20),3)</f>
        <v>0</v>
      </c>
      <c r="W24" s="272">
        <f>ROUND(W21-SUM(W9:W12,W17,W19,W20)+W12-SUM(W13:W15)+W21-(W16+W17+W19+W20)+W21-(W18+W19+W20),3)</f>
        <v>1E-3</v>
      </c>
      <c r="Y24" s="272">
        <f>ROUND(Y21-SUM(Y9:Y12,Y17,Y19,Y20)+Y12-SUM(Y13:Y15)+Y21-(Y16+Y17+Y19+Y20)+Y21-(Y18+Y19+Y20),3)</f>
        <v>0</v>
      </c>
      <c r="AA24" s="272">
        <f>ROUND(AA21-SUM(AA9:AA12,AA17,AA19,AA20)+AA12-SUM(AA13:AA15)+AA21-(AA16+AA17+AA19+AA20)+AA21-(AA18+AA19+AA20),3)</f>
        <v>0</v>
      </c>
      <c r="AC24" s="272">
        <f>ROUND(AC21-SUM(AC9:AC12,AC17,AC19,AC20)+AC12-SUM(AC13:AC15)+AC21-(AC16+AC17+AC19+AC20)+AC21-(AC18+AC19+AC20),3)</f>
        <v>0</v>
      </c>
      <c r="AE24" s="272">
        <f>ROUND(AE21-SUM(AE9:AE12,AE17,AE19,AE20)+AE12-SUM(AE13:AE15)+AE21-(AE16+AE17+AE19+AE20)+AE21-(AE18+AE19+AE20),3)</f>
        <v>0</v>
      </c>
      <c r="AG24" s="272">
        <f>ROUND(AG21-SUM(AG9:AG12,AG17,AG19,AG20)+AG12-SUM(AG13:AG15)+AG21-(AG16+AG17+AG19+AG20)+AG21-(AG18+AG19+AG20),3)</f>
        <v>1E-3</v>
      </c>
      <c r="AI24" s="272">
        <f>ROUND(AI21-SUM(AI9:AI12,AI17,AI19,AI20)+AI12-SUM(AI13:AI15)+AI21-(AI16+AI17+AI19+AI20)+AI21-(AI18+AI19+AI20),3)</f>
        <v>1E-3</v>
      </c>
      <c r="AL24" s="322">
        <f>ROUND(AL21-SUM(AL9:AL12,AL17,AL19,AL20)+AL12-SUM(AL13:AL15)+AL21-(AL16+AL17+AL19+AL20)+AL21-(AL18+AL19+AL20),3)</f>
        <v>1467853322.132</v>
      </c>
      <c r="AM24" s="270"/>
      <c r="AN24" s="322">
        <f>ROUND(AN21-SUM(AN9:AN12,AN17,AN19)+AN12-SUM(AN13:AN15)+AN21-(AN16+AN17+AN19)+AN21-(AN18+AN19),3)</f>
        <v>1682443787.4300001</v>
      </c>
      <c r="AO24" s="323"/>
      <c r="AP24" s="322">
        <f>ROUND(AP21-SUM(AP9:AP12,AP17,AP19)+AP12-SUM(AP13:AP15)+AP21-(AP16+AP17+AP19)+AP21-(AP18+AP19),3)</f>
        <v>1527404733.4909999</v>
      </c>
      <c r="AQ24" s="323"/>
      <c r="AR24" s="322">
        <f>ROUND(AR21-SUM(AR9:AR12,AR17,AR19)+AR12-SUM(AR13:AR15)+AR21-(AR16+AR17+AR19)+AR21-(AR18+AR19),3)</f>
        <v>1369582879.3829999</v>
      </c>
    </row>
    <row r="25" spans="1:45" collapsed="1" x14ac:dyDescent="0.2">
      <c r="A25" s="50"/>
      <c r="B25" s="2"/>
      <c r="C25" s="63"/>
      <c r="D25" s="74"/>
      <c r="E25" s="272"/>
      <c r="F25" s="272"/>
      <c r="H25" s="272"/>
      <c r="K25" s="272"/>
      <c r="N25" s="272"/>
      <c r="P25" s="272"/>
      <c r="R25" s="272"/>
      <c r="U25" s="272"/>
      <c r="W25" s="272"/>
      <c r="Y25" s="272"/>
      <c r="AA25" s="272"/>
      <c r="AC25" s="272"/>
      <c r="AE25" s="272"/>
      <c r="AG25" s="272"/>
      <c r="AI25" s="272"/>
      <c r="AL25" s="322"/>
      <c r="AM25" s="270"/>
      <c r="AN25" s="322"/>
      <c r="AO25" s="323"/>
      <c r="AP25" s="322"/>
      <c r="AQ25" s="323"/>
      <c r="AR25" s="322"/>
    </row>
    <row r="26" spans="1:45" ht="15.6" x14ac:dyDescent="0.3">
      <c r="A26" s="50"/>
      <c r="B26" s="2"/>
      <c r="C26" s="176" t="s">
        <v>219</v>
      </c>
      <c r="D26" s="74"/>
      <c r="AL26" s="305"/>
    </row>
    <row r="27" spans="1:45" ht="24" x14ac:dyDescent="0.25">
      <c r="A27" s="234" t="s">
        <v>185</v>
      </c>
      <c r="B27" s="2"/>
      <c r="C27" s="67" t="s">
        <v>127</v>
      </c>
      <c r="D27" s="74"/>
      <c r="E27" s="68" t="str" cm="1">
        <f t="array" ref="E27">"Flows"&amp;" "&amp;"
"&amp;INDEX(TableYtd,MONTH(E$3),2)&amp;YEAR(E$3)</f>
        <v>Flows 
9M 2025</v>
      </c>
      <c r="F27" s="68" t="str" cm="1">
        <f t="array" ref="F27">"Flows"&amp;" "&amp;"
"&amp;INDEX(TableYtd,MONTH(F$3),2)&amp;YEAR(F$3)</f>
        <v>Flows 
9M 2024</v>
      </c>
      <c r="H27" s="68" t="str">
        <f>"Flows"&amp;" "&amp;"
"&amp;"Q"&amp;MONTH(H$3)/3&amp;" "&amp;YEAR(H$3)</f>
        <v>Flows 
Q3 2025</v>
      </c>
      <c r="I27" s="68" t="str">
        <f t="shared" ref="I27" si="41">"Flows"&amp;" "&amp;"
"&amp;"Q"&amp;MONTH(I$3)/3&amp;" "&amp;YEAR(I$3)</f>
        <v>Flows 
Q3 2024</v>
      </c>
      <c r="K27" s="68" t="str">
        <f>"Flows"&amp;" "&amp;"
"&amp;"Q"&amp;MONTH(K$3)/3&amp;" "&amp;YEAR(K$3)</f>
        <v>Flows 
Q2 2025</v>
      </c>
      <c r="L27" s="182"/>
      <c r="M27" s="182"/>
      <c r="N27" s="68" t="str" cm="1">
        <f t="array" ref="N27">"Flows"&amp;" "&amp;"
"&amp;INDEX(TableYtd,MONTH(N$3),2)&amp;YEAR(N$3)</f>
        <v>Flows 
9M 2025</v>
      </c>
      <c r="O27" s="68" t="str">
        <f>"Flows"&amp;" "&amp;"
"&amp;"Q"&amp;MONTH(O$3)/3&amp;" "&amp;YEAR(O$3)</f>
        <v>Flows 
Q3 2025</v>
      </c>
      <c r="P27" s="68" t="str" cm="1">
        <f t="array" ref="P27">"Flows"&amp;" "&amp;"
"&amp;INDEX(TableYtd,MONTH(P$3),2)&amp;YEAR(P$3)</f>
        <v>Flows 
H1 2025</v>
      </c>
      <c r="Q27" s="68" t="str">
        <f>"Flows"&amp;" "&amp;"
"&amp;"Q"&amp;MONTH(Q$3)/3&amp;" "&amp;YEAR(Q$3)</f>
        <v>Flows 
Q2 2025</v>
      </c>
      <c r="R27" s="68" t="str" cm="1">
        <f t="array" ref="R27">"Flows"&amp;" "&amp;"
"&amp;INDEX(TableYtd,MONTH(R$3),2)&amp;YEAR(R$3)</f>
        <v>Flows 
Q1 2025</v>
      </c>
      <c r="S27" s="68" t="str" cm="1">
        <f t="array" ref="S27">"Flows"&amp;" "&amp;"
"&amp;INDEX(TableYtd,MONTH(S$3),2)&amp;YEAR(S$3)</f>
        <v>Flows 
Q1 2025</v>
      </c>
      <c r="U27" s="68" t="str" cm="1">
        <f t="array" ref="U27">"Flows"&amp;" "&amp;"
"&amp;INDEX(TableYtd,MONTH(U$3),2)&amp;YEAR(U$3)</f>
        <v>Flows 
FY 2024</v>
      </c>
      <c r="V27" s="68" t="str">
        <f>"Flows"&amp;" "&amp;"
"&amp;"Q"&amp;MONTH(V$3)/3&amp;" "&amp;YEAR(V$3)</f>
        <v>Flows 
Q4 2024</v>
      </c>
      <c r="W27" s="68" t="str" cm="1">
        <f t="array" ref="W27">"Flows"&amp;" "&amp;"
"&amp;INDEX(TableYtd,MONTH(W$3),2)&amp;YEAR(W$3)</f>
        <v>Flows 
9M 2024</v>
      </c>
      <c r="X27" s="68" t="str">
        <f>"Flows"&amp;" "&amp;"
"&amp;"Q"&amp;MONTH(X$3)/3&amp;" "&amp;YEAR(X$3)</f>
        <v>Flows 
Q3 2024</v>
      </c>
      <c r="Y27" s="68" t="str" cm="1">
        <f t="array" ref="Y27">"Flows"&amp;" "&amp;"
"&amp;INDEX(TableYtd,MONTH(Y$3),2)&amp;YEAR(Y$3)</f>
        <v>Flows 
H1 2024</v>
      </c>
      <c r="Z27" s="68" t="str">
        <f>"Flows"&amp;" "&amp;"
"&amp;"Q"&amp;MONTH(Z$3)/3&amp;" "&amp;YEAR(Z$3)</f>
        <v>Flows 
Q2 2024</v>
      </c>
      <c r="AA27" s="68" t="str" cm="1">
        <f t="array" ref="AA27">"Flows"&amp;" "&amp;"
"&amp;INDEX(TableYtd,MONTH(AA$3),2)&amp;YEAR(AA$3)</f>
        <v>Flows 
Q1 2024</v>
      </c>
      <c r="AC27" s="68" t="str" cm="1">
        <f t="array" ref="AC27">"Flows"&amp;" "&amp;"
"&amp;INDEX(TableYtd,MONTH(AC$3),2)&amp;YEAR(AC$3)</f>
        <v>Flows 
FY 2023</v>
      </c>
      <c r="AD27" s="68" t="str">
        <f>"Flows"&amp;" "&amp;"
"&amp;"Q"&amp;MONTH(AD$3)/3&amp;" "&amp;YEAR(AD$3)</f>
        <v>Flows 
Q4 2023</v>
      </c>
      <c r="AE27" s="68" t="str" cm="1">
        <f t="array" ref="AE27">"Flows"&amp;" "&amp;"
"&amp;INDEX(TableYtd,MONTH(AE$3),2)&amp;YEAR(AE$3)</f>
        <v>Flows 
9M 2023</v>
      </c>
      <c r="AF27" s="68" t="str">
        <f>"Flows"&amp;" "&amp;"
"&amp;"Q"&amp;MONTH(AF$3)/3&amp;" "&amp;YEAR(AF$3)</f>
        <v>Flows 
Q3 2023</v>
      </c>
      <c r="AG27" s="68" t="str" cm="1">
        <f t="array" ref="AG27">"Flows"&amp;" "&amp;"
"&amp;INDEX(TableYtd,MONTH(AG$3),2)&amp;YEAR(AG$3)</f>
        <v>Flows 
H1 2023</v>
      </c>
      <c r="AH27" s="68" t="str">
        <f>"Flows"&amp;" "&amp;"
"&amp;"Q"&amp;MONTH(AH$3)/3&amp;" "&amp;YEAR(AH$3)</f>
        <v>Flows 
Q2 2023</v>
      </c>
      <c r="AI27" s="68" t="str" cm="1">
        <f t="array" ref="AI27">"Flows"&amp;" "&amp;"
"&amp;INDEX(TableYtd,MONTH(AI$3),2)&amp;YEAR(AI$3)</f>
        <v>Flows 
Q1 2023</v>
      </c>
      <c r="AJ27" s="68" t="str">
        <f>"Flows"&amp;" "&amp;"
"&amp;"Q"&amp;MONTH(AJ$3)/3&amp;" "&amp;YEAR(AJ$3)</f>
        <v>Flows 
Q1 2023</v>
      </c>
      <c r="AL27" s="68" t="str" cm="1">
        <f t="array" ref="AL27">"Flows"&amp;" "&amp;"
"&amp;INDEX(TableYtd,MONTH(AL$3),2)&amp;YEAR(AL$3)</f>
        <v>Flows 
FY 2022</v>
      </c>
      <c r="AM27" s="68" t="str">
        <f>"Flows"&amp;" "&amp;"
"&amp;"Q"&amp;MONTH(AM$3)/3&amp;" "&amp;YEAR(AM$3)</f>
        <v>Flows 
Q4 2022</v>
      </c>
      <c r="AN27" s="68" t="str" cm="1">
        <f t="array" ref="AN27">"Flows"&amp;" "&amp;"
"&amp;INDEX(TableYtd,MONTH(AN$3),2)&amp;YEAR(AN$3)</f>
        <v>Flows 
9M 2022</v>
      </c>
      <c r="AO27" s="68" t="str">
        <f>"Flows"&amp;" "&amp;"
"&amp;"Q"&amp;MONTH(AO$3)/3&amp;" "&amp;YEAR(AO$3)</f>
        <v>Flows 
Q3 2022</v>
      </c>
      <c r="AP27" s="68" t="str" cm="1">
        <f t="array" ref="AP27">"Flows"&amp;" "&amp;"
"&amp;INDEX(TableYtd,MONTH(AP$3),2)&amp;YEAR(AP$3)</f>
        <v>Flows 
H1 2022</v>
      </c>
      <c r="AQ27" s="68" t="str">
        <f>"Flows"&amp;" "&amp;"
"&amp;"Q"&amp;MONTH(AQ$3)/3&amp;" "&amp;YEAR(AQ$3)</f>
        <v>Flows 
Q2 2022</v>
      </c>
      <c r="AR27" s="68" t="str" cm="1">
        <f t="array" ref="AR27">"Flows"&amp;" "&amp;"
"&amp;INDEX(TableYtd,MONTH(AR$3),2)&amp;YEAR(AR$3)</f>
        <v>Flows 
Q1 2022</v>
      </c>
      <c r="AS27" s="68" t="str">
        <f>"Flows"&amp;" "&amp;"
"&amp;"Q"&amp;MONTH(AS$3)/3&amp;" "&amp;YEAR(AS$3)</f>
        <v>Flows 
Q1 2022</v>
      </c>
    </row>
    <row r="28" spans="1:45" ht="15" customHeight="1" x14ac:dyDescent="0.2">
      <c r="A28" s="11" t="s">
        <v>276</v>
      </c>
      <c r="B28" s="2"/>
      <c r="C28" s="180" t="s">
        <v>133</v>
      </c>
      <c r="D28" s="74"/>
      <c r="E28" s="100">
        <v>37835147099.195412</v>
      </c>
      <c r="F28" s="100">
        <v>21911175.867741093</v>
      </c>
      <c r="H28" s="100">
        <v>4554115272.8347416</v>
      </c>
      <c r="I28" s="100">
        <v>-666602473.48757052</v>
      </c>
      <c r="K28" s="100">
        <v>6855654041.5777006</v>
      </c>
      <c r="L28" s="100"/>
      <c r="M28" s="100"/>
      <c r="N28" s="100">
        <v>37835147099.195412</v>
      </c>
      <c r="O28" s="100">
        <v>4554115272.8347416</v>
      </c>
      <c r="P28" s="100">
        <v>33281031826.360733</v>
      </c>
      <c r="Q28" s="100">
        <v>6855654041.5777006</v>
      </c>
      <c r="R28" s="100">
        <v>26425377784.783012</v>
      </c>
      <c r="S28" s="100">
        <v>26425377784.783012</v>
      </c>
      <c r="U28" s="100">
        <v>7337236564.774992</v>
      </c>
      <c r="V28" s="100">
        <v>7315325388.9072018</v>
      </c>
      <c r="W28" s="100">
        <v>21911175.867741093</v>
      </c>
      <c r="X28" s="100">
        <v>-666602473.48757052</v>
      </c>
      <c r="Y28" s="100">
        <v>688513649.35532737</v>
      </c>
      <c r="Z28" s="100">
        <v>3246730723.0916457</v>
      </c>
      <c r="AA28" s="100">
        <v>-2558217073.7362933</v>
      </c>
      <c r="AC28" s="100">
        <v>2155804440.9478059</v>
      </c>
      <c r="AD28" s="100">
        <v>138085207.77794138</v>
      </c>
      <c r="AE28" s="100">
        <v>2017719233.169884</v>
      </c>
      <c r="AF28" s="100">
        <v>6999619213.7296486</v>
      </c>
      <c r="AG28" s="100">
        <v>-4981899980.5597763</v>
      </c>
      <c r="AH28" s="100">
        <v>-2124075797.2494302</v>
      </c>
      <c r="AI28" s="100">
        <v>-2857824183.3103499</v>
      </c>
      <c r="AJ28" s="100">
        <v>-2857824183.3103499</v>
      </c>
      <c r="AL28" s="100">
        <v>13430402206.746523</v>
      </c>
      <c r="AM28" s="100">
        <v>4441856087.1269932</v>
      </c>
      <c r="AN28" s="100">
        <v>8988546119.6195297</v>
      </c>
      <c r="AO28" s="100">
        <v>-2267748759.7789555</v>
      </c>
      <c r="AP28" s="100">
        <v>11256294879.398485</v>
      </c>
      <c r="AQ28" s="100">
        <v>3094650432.9336519</v>
      </c>
      <c r="AR28" s="100">
        <v>8161644446.4648333</v>
      </c>
      <c r="AS28" s="100">
        <v>8161644446.4648333</v>
      </c>
    </row>
    <row r="29" spans="1:45" ht="12" x14ac:dyDescent="0.25">
      <c r="A29" s="11" t="s">
        <v>277</v>
      </c>
      <c r="B29" s="51"/>
      <c r="C29" s="180" t="s">
        <v>134</v>
      </c>
      <c r="D29" s="75"/>
      <c r="E29" s="100">
        <v>1862325756.4426284</v>
      </c>
      <c r="F29" s="100">
        <v>-22284729081.839321</v>
      </c>
      <c r="H29" s="100">
        <v>2787786979.8741479</v>
      </c>
      <c r="I29" s="100">
        <v>-15405660515.932156</v>
      </c>
      <c r="K29" s="100">
        <v>95883145.516678646</v>
      </c>
      <c r="L29" s="100"/>
      <c r="M29" s="100"/>
      <c r="N29" s="100">
        <v>1862325756.4426284</v>
      </c>
      <c r="O29" s="100">
        <v>2787786979.8741479</v>
      </c>
      <c r="P29" s="100">
        <v>-925461223.43151546</v>
      </c>
      <c r="Q29" s="100">
        <v>95883145.516678646</v>
      </c>
      <c r="R29" s="100">
        <v>-1021344368.9481945</v>
      </c>
      <c r="S29" s="100">
        <v>-1021344368.9481945</v>
      </c>
      <c r="U29" s="100">
        <v>-23233651380.419041</v>
      </c>
      <c r="V29" s="100">
        <v>-948922298.57972932</v>
      </c>
      <c r="W29" s="100">
        <v>-22284729081.839321</v>
      </c>
      <c r="X29" s="100">
        <v>-15405660515.932156</v>
      </c>
      <c r="Y29" s="100">
        <v>-6879068565.9071665</v>
      </c>
      <c r="Z29" s="100">
        <v>687273348.476596</v>
      </c>
      <c r="AA29" s="100">
        <v>-7566341914.3837605</v>
      </c>
      <c r="AC29" s="100">
        <v>-24511281607.023373</v>
      </c>
      <c r="AD29" s="100">
        <v>-7534673295.0656567</v>
      </c>
      <c r="AE29" s="100">
        <v>-16976608311.95771</v>
      </c>
      <c r="AF29" s="100">
        <v>-5859422374.9841785</v>
      </c>
      <c r="AG29" s="100">
        <v>-11117185936.973526</v>
      </c>
      <c r="AH29" s="100">
        <v>-3914193423.6433053</v>
      </c>
      <c r="AI29" s="100">
        <v>-7202992513.3302183</v>
      </c>
      <c r="AJ29" s="100">
        <v>-7202992513.3302183</v>
      </c>
      <c r="AL29" s="100">
        <v>-2785408483.1600943</v>
      </c>
      <c r="AM29" s="100">
        <v>-3399515247.5744972</v>
      </c>
      <c r="AN29" s="100">
        <v>614106764.41440308</v>
      </c>
      <c r="AO29" s="100">
        <v>-4176217253.2378654</v>
      </c>
      <c r="AP29" s="100">
        <v>4790324017.6522684</v>
      </c>
      <c r="AQ29" s="100">
        <v>-6106952191.2578707</v>
      </c>
      <c r="AR29" s="100">
        <v>10897276208.910139</v>
      </c>
      <c r="AS29" s="100">
        <v>10897276208.910139</v>
      </c>
    </row>
    <row r="30" spans="1:45" x14ac:dyDescent="0.2">
      <c r="A30" s="11" t="s">
        <v>278</v>
      </c>
      <c r="B30" s="51"/>
      <c r="C30" s="180" t="s">
        <v>135</v>
      </c>
      <c r="D30" s="74"/>
      <c r="E30" s="100">
        <v>23156784900.574081</v>
      </c>
      <c r="F30" s="100">
        <v>36790312879.62088</v>
      </c>
      <c r="H30" s="100">
        <v>2252293628.117382</v>
      </c>
      <c r="I30" s="100">
        <v>12766683948.696072</v>
      </c>
      <c r="K30" s="100">
        <v>6637882012.8614445</v>
      </c>
      <c r="L30" s="100"/>
      <c r="M30" s="100"/>
      <c r="N30" s="100">
        <v>23156784900.574081</v>
      </c>
      <c r="O30" s="100">
        <v>2252293628.117382</v>
      </c>
      <c r="P30" s="100">
        <v>20904491272.456738</v>
      </c>
      <c r="Q30" s="100">
        <v>6637882012.8614445</v>
      </c>
      <c r="R30" s="100">
        <v>14266609259.595287</v>
      </c>
      <c r="S30" s="100">
        <v>14266609259.595287</v>
      </c>
      <c r="U30" s="100">
        <v>47410694897.559837</v>
      </c>
      <c r="V30" s="100">
        <v>10620382017.938988</v>
      </c>
      <c r="W30" s="100">
        <v>36790312879.62088</v>
      </c>
      <c r="X30" s="100">
        <v>12766683948.696072</v>
      </c>
      <c r="Y30" s="100">
        <v>24023628930.924801</v>
      </c>
      <c r="Z30" s="100">
        <v>10144038616.625195</v>
      </c>
      <c r="AA30" s="100">
        <v>13879590314.299625</v>
      </c>
      <c r="AC30" s="100">
        <v>17579239651.741837</v>
      </c>
      <c r="AD30" s="100">
        <v>7441561338.7854071</v>
      </c>
      <c r="AE30" s="100">
        <v>10137678312.956409</v>
      </c>
      <c r="AF30" s="100">
        <v>7719905244.4240351</v>
      </c>
      <c r="AG30" s="100">
        <v>2417773068.5323901</v>
      </c>
      <c r="AH30" s="100">
        <v>5650007803.3039885</v>
      </c>
      <c r="AI30" s="100">
        <v>-3232234734.771595</v>
      </c>
      <c r="AJ30" s="100">
        <v>-3232234734.771595</v>
      </c>
      <c r="AL30" s="100">
        <v>-3124165556.2499666</v>
      </c>
      <c r="AM30" s="100">
        <v>-1396962014.386699</v>
      </c>
      <c r="AN30" s="100">
        <v>-1727203541.8632677</v>
      </c>
      <c r="AO30" s="100">
        <v>3593500591.5198603</v>
      </c>
      <c r="AP30" s="100">
        <v>-5320704133.3831282</v>
      </c>
      <c r="AQ30" s="100">
        <v>-5849466459.2321062</v>
      </c>
      <c r="AR30" s="100">
        <v>528762325.84897763</v>
      </c>
      <c r="AS30" s="100">
        <v>528762325.84897763</v>
      </c>
    </row>
    <row r="31" spans="1:45" x14ac:dyDescent="0.2">
      <c r="A31" s="11"/>
      <c r="B31" s="51"/>
      <c r="C31" s="180" t="s">
        <v>136</v>
      </c>
      <c r="D31" s="74"/>
      <c r="E31" s="100">
        <f>SUM(E32:E34)</f>
        <v>-5871643979.678957</v>
      </c>
      <c r="F31" s="100">
        <f t="shared" ref="F31:AJ31" si="42">SUM(F32:F34)</f>
        <v>1538041443.4485748</v>
      </c>
      <c r="G31" s="100"/>
      <c r="H31" s="100">
        <f t="shared" si="42"/>
        <v>-636457783.78485584</v>
      </c>
      <c r="I31" s="100">
        <f t="shared" si="42"/>
        <v>844514909.95422888</v>
      </c>
      <c r="J31" s="100"/>
      <c r="K31" s="100">
        <f t="shared" si="42"/>
        <v>-2451398047.0737982</v>
      </c>
      <c r="L31" s="100"/>
      <c r="M31" s="100"/>
      <c r="N31" s="100">
        <f t="shared" si="42"/>
        <v>-5871643979.678957</v>
      </c>
      <c r="O31" s="100">
        <f t="shared" si="42"/>
        <v>-636457783.78485584</v>
      </c>
      <c r="P31" s="100">
        <f t="shared" si="42"/>
        <v>-5235186195.8941011</v>
      </c>
      <c r="Q31" s="100">
        <f t="shared" ref="Q31" si="43">SUM(Q32:Q34)</f>
        <v>-2451398047.0737982</v>
      </c>
      <c r="R31" s="100">
        <f t="shared" si="42"/>
        <v>-2783788148.820303</v>
      </c>
      <c r="S31" s="100">
        <f t="shared" si="42"/>
        <v>-2783788148.820303</v>
      </c>
      <c r="U31" s="100">
        <f t="shared" ref="U31:V31" si="44">SUM(U32:U34)</f>
        <v>2439745085.0986233</v>
      </c>
      <c r="V31" s="100">
        <f t="shared" si="44"/>
        <v>901703641.65004826</v>
      </c>
      <c r="W31" s="100">
        <f t="shared" ref="W31:X31" si="45">SUM(W32:W34)</f>
        <v>1538041443.4485748</v>
      </c>
      <c r="X31" s="100">
        <f t="shared" si="45"/>
        <v>844514909.95422888</v>
      </c>
      <c r="Y31" s="100">
        <f t="shared" ref="Y31:Z31" si="46">SUM(Y32:Y34)</f>
        <v>693526533.49434423</v>
      </c>
      <c r="Z31" s="100">
        <f t="shared" si="46"/>
        <v>1019177770.0266926</v>
      </c>
      <c r="AA31" s="100">
        <f t="shared" ref="AA31" si="47">SUM(AA32:AA34)</f>
        <v>-325651236.53234887</v>
      </c>
      <c r="AC31" s="100">
        <f t="shared" si="42"/>
        <v>4292317363.8498092</v>
      </c>
      <c r="AD31" s="100">
        <f t="shared" si="42"/>
        <v>1889955583.3512926</v>
      </c>
      <c r="AE31" s="100">
        <f t="shared" si="42"/>
        <v>2402361780.4985156</v>
      </c>
      <c r="AF31" s="100">
        <f t="shared" si="42"/>
        <v>-1072721291.7180301</v>
      </c>
      <c r="AG31" s="100">
        <f t="shared" si="42"/>
        <v>3475083072.2165461</v>
      </c>
      <c r="AH31" s="100">
        <f t="shared" si="42"/>
        <v>2546486152.8042212</v>
      </c>
      <c r="AI31" s="100">
        <f t="shared" si="42"/>
        <v>928596919.41232646</v>
      </c>
      <c r="AJ31" s="100">
        <f t="shared" si="42"/>
        <v>928596919.41232646</v>
      </c>
      <c r="AL31" s="100">
        <f>SUM(AL32:AL34)</f>
        <v>133797975.62583488</v>
      </c>
      <c r="AM31" s="100">
        <f t="shared" ref="AM31:AS31" si="48">SUM(AM32:AM34)</f>
        <v>891762618.29724932</v>
      </c>
      <c r="AN31" s="100">
        <f t="shared" si="48"/>
        <v>-757964642.67141438</v>
      </c>
      <c r="AO31" s="100">
        <f t="shared" si="48"/>
        <v>-809137908.15474415</v>
      </c>
      <c r="AP31" s="100">
        <f t="shared" si="48"/>
        <v>51173265.483329773</v>
      </c>
      <c r="AQ31" s="100">
        <f t="shared" si="48"/>
        <v>-1301887436.8474445</v>
      </c>
      <c r="AR31" s="100">
        <f t="shared" si="48"/>
        <v>1353060702.3307743</v>
      </c>
      <c r="AS31" s="100">
        <f t="shared" si="48"/>
        <v>1353060702.3307743</v>
      </c>
    </row>
    <row r="32" spans="1:45" x14ac:dyDescent="0.2">
      <c r="A32" s="11" t="s">
        <v>279</v>
      </c>
      <c r="B32" s="51"/>
      <c r="C32" s="98" t="s">
        <v>137</v>
      </c>
      <c r="D32" s="253"/>
      <c r="E32" s="289">
        <v>-850057767.33987284</v>
      </c>
      <c r="F32" s="289">
        <v>-90704651.72999984</v>
      </c>
      <c r="G32" s="1"/>
      <c r="H32" s="289">
        <v>395871503.6499998</v>
      </c>
      <c r="I32" s="289">
        <v>190097192.45999998</v>
      </c>
      <c r="J32" s="290"/>
      <c r="K32" s="289">
        <v>-615152294.28000021</v>
      </c>
      <c r="L32" s="291"/>
      <c r="M32" s="291"/>
      <c r="N32" s="289">
        <v>-850057767.33987284</v>
      </c>
      <c r="O32" s="289">
        <v>395871503.6499998</v>
      </c>
      <c r="P32" s="289">
        <v>-1245929270.9898727</v>
      </c>
      <c r="Q32" s="289">
        <v>-615152294.28000021</v>
      </c>
      <c r="R32" s="289">
        <v>-630776976.70987272</v>
      </c>
      <c r="S32" s="289">
        <v>-630776976.70987272</v>
      </c>
      <c r="T32" s="1"/>
      <c r="U32" s="289">
        <v>11776599.6899997</v>
      </c>
      <c r="V32" s="289">
        <v>102481251.42000024</v>
      </c>
      <c r="W32" s="289">
        <v>-90704651.72999984</v>
      </c>
      <c r="X32" s="289">
        <v>190097192.45999998</v>
      </c>
      <c r="Y32" s="289">
        <v>-280801844.1900003</v>
      </c>
      <c r="Z32" s="289">
        <v>-87614657.600407064</v>
      </c>
      <c r="AA32" s="289">
        <v>-193187186.5895929</v>
      </c>
      <c r="AB32" s="1"/>
      <c r="AC32" s="289">
        <v>-1372343.9034039043</v>
      </c>
      <c r="AD32" s="289">
        <v>-210963273.66763434</v>
      </c>
      <c r="AE32" s="289">
        <v>209590929.7642304</v>
      </c>
      <c r="AF32" s="289">
        <v>-304574344.45975477</v>
      </c>
      <c r="AG32" s="289">
        <v>514165274.22398478</v>
      </c>
      <c r="AH32" s="289">
        <v>629192920.37835228</v>
      </c>
      <c r="AI32" s="289">
        <v>-115027646.15436728</v>
      </c>
      <c r="AJ32" s="289">
        <v>-115027646.15436728</v>
      </c>
      <c r="AK32" s="1"/>
      <c r="AL32" s="289">
        <v>4085582909.3600006</v>
      </c>
      <c r="AM32" s="289">
        <v>1038057129.4949474</v>
      </c>
      <c r="AN32" s="289">
        <v>3047525779.8650532</v>
      </c>
      <c r="AO32" s="289">
        <v>259716206.81692934</v>
      </c>
      <c r="AP32" s="289">
        <v>2787809573.0481238</v>
      </c>
      <c r="AQ32" s="289">
        <v>605902513.39120531</v>
      </c>
      <c r="AR32" s="289">
        <v>2181907059.6569185</v>
      </c>
      <c r="AS32" s="289">
        <v>2181907059.6569185</v>
      </c>
    </row>
    <row r="33" spans="1:45" x14ac:dyDescent="0.2">
      <c r="A33" s="11" t="s">
        <v>280</v>
      </c>
      <c r="B33" s="51"/>
      <c r="C33" s="98" t="s">
        <v>138</v>
      </c>
      <c r="D33" s="253"/>
      <c r="E33" s="289">
        <v>-590617898.95999992</v>
      </c>
      <c r="F33" s="289">
        <v>-1106930829.6052918</v>
      </c>
      <c r="G33" s="1"/>
      <c r="H33" s="289">
        <v>-79959558.005069152</v>
      </c>
      <c r="I33" s="289">
        <v>-151038566.19999999</v>
      </c>
      <c r="J33" s="290"/>
      <c r="K33" s="289">
        <v>-400682255.61493087</v>
      </c>
      <c r="L33" s="291"/>
      <c r="M33" s="291"/>
      <c r="N33" s="289">
        <v>-590617898.95999992</v>
      </c>
      <c r="O33" s="289">
        <v>-79959558.005069152</v>
      </c>
      <c r="P33" s="289">
        <v>-510658340.9549306</v>
      </c>
      <c r="Q33" s="289">
        <v>-400682255.61493087</v>
      </c>
      <c r="R33" s="289">
        <v>-109976085.34000005</v>
      </c>
      <c r="S33" s="289">
        <v>-109976085.34000005</v>
      </c>
      <c r="T33" s="1"/>
      <c r="U33" s="289">
        <v>-1217066358.5752916</v>
      </c>
      <c r="V33" s="289">
        <v>-110135528.97</v>
      </c>
      <c r="W33" s="289">
        <v>-1106930829.6052918</v>
      </c>
      <c r="X33" s="289">
        <v>-151038566.19999999</v>
      </c>
      <c r="Y33" s="289">
        <v>-955892263.40529239</v>
      </c>
      <c r="Z33" s="289">
        <v>-209503469.08544517</v>
      </c>
      <c r="AA33" s="289">
        <v>-746388794.31984687</v>
      </c>
      <c r="AB33" s="1"/>
      <c r="AC33" s="289">
        <v>-1343445204.318753</v>
      </c>
      <c r="AD33" s="289">
        <v>-681588617.44000006</v>
      </c>
      <c r="AE33" s="289">
        <v>-661856586.87875295</v>
      </c>
      <c r="AF33" s="289">
        <v>-567005164.8382802</v>
      </c>
      <c r="AG33" s="289">
        <v>-94851422.040472463</v>
      </c>
      <c r="AH33" s="289">
        <v>-85237268.995544761</v>
      </c>
      <c r="AI33" s="289">
        <v>-9614153.0449272543</v>
      </c>
      <c r="AJ33" s="289">
        <v>-9614153.0449272543</v>
      </c>
      <c r="AK33" s="1"/>
      <c r="AL33" s="289">
        <v>-3869694959.3412294</v>
      </c>
      <c r="AM33" s="289">
        <v>-2904465329.8364902</v>
      </c>
      <c r="AN33" s="289">
        <v>-965229629.50473928</v>
      </c>
      <c r="AO33" s="289">
        <v>-1093605651.0496178</v>
      </c>
      <c r="AP33" s="289">
        <v>128376021.54487841</v>
      </c>
      <c r="AQ33" s="289">
        <v>-268870856.38734329</v>
      </c>
      <c r="AR33" s="289">
        <v>397246877.93222171</v>
      </c>
      <c r="AS33" s="289">
        <v>397246877.93222171</v>
      </c>
    </row>
    <row r="34" spans="1:45" x14ac:dyDescent="0.2">
      <c r="A34" s="11" t="s">
        <v>281</v>
      </c>
      <c r="B34" s="51"/>
      <c r="C34" s="98" t="s">
        <v>139</v>
      </c>
      <c r="D34" s="292"/>
      <c r="E34" s="289">
        <v>-4430968313.3790836</v>
      </c>
      <c r="F34" s="289">
        <v>2735676924.7838664</v>
      </c>
      <c r="G34" s="1"/>
      <c r="H34" s="289">
        <v>-952369729.42978656</v>
      </c>
      <c r="I34" s="289">
        <v>805456283.69422889</v>
      </c>
      <c r="J34" s="290"/>
      <c r="K34" s="289">
        <v>-1435563497.1788671</v>
      </c>
      <c r="L34" s="291"/>
      <c r="M34" s="291"/>
      <c r="N34" s="289">
        <v>-4430968313.3790836</v>
      </c>
      <c r="O34" s="289">
        <v>-952369729.42978656</v>
      </c>
      <c r="P34" s="289">
        <v>-3478598583.9492979</v>
      </c>
      <c r="Q34" s="289">
        <v>-1435563497.1788671</v>
      </c>
      <c r="R34" s="289">
        <v>-2043035086.7704301</v>
      </c>
      <c r="S34" s="289">
        <v>-2043035086.7704301</v>
      </c>
      <c r="T34" s="1"/>
      <c r="U34" s="289">
        <v>3645034843.9839153</v>
      </c>
      <c r="V34" s="289">
        <v>909357919.20004797</v>
      </c>
      <c r="W34" s="289">
        <v>2735676924.7838664</v>
      </c>
      <c r="X34" s="289">
        <v>805456283.69422889</v>
      </c>
      <c r="Y34" s="289">
        <v>1930220641.0896368</v>
      </c>
      <c r="Z34" s="289">
        <v>1316295896.7125449</v>
      </c>
      <c r="AA34" s="289">
        <v>613924744.37709093</v>
      </c>
      <c r="AB34" s="1"/>
      <c r="AC34" s="289">
        <v>5637134912.0719662</v>
      </c>
      <c r="AD34" s="289">
        <v>2782507474.4589272</v>
      </c>
      <c r="AE34" s="289">
        <v>2854627437.6130381</v>
      </c>
      <c r="AF34" s="289">
        <v>-201141782.41999516</v>
      </c>
      <c r="AG34" s="289">
        <v>3055769220.0330338</v>
      </c>
      <c r="AH34" s="289">
        <v>2002530501.4214139</v>
      </c>
      <c r="AI34" s="289">
        <v>1053238718.611621</v>
      </c>
      <c r="AJ34" s="289">
        <v>1053238718.611621</v>
      </c>
      <c r="AK34" s="1"/>
      <c r="AL34" s="289">
        <v>-82089974.392936289</v>
      </c>
      <c r="AM34" s="289">
        <v>2758170818.638792</v>
      </c>
      <c r="AN34" s="289">
        <v>-2840260793.0317283</v>
      </c>
      <c r="AO34" s="289">
        <v>24751536.077944279</v>
      </c>
      <c r="AP34" s="289">
        <v>-2865012329.1096725</v>
      </c>
      <c r="AQ34" s="289">
        <v>-1638919093.8513064</v>
      </c>
      <c r="AR34" s="289">
        <v>-1226093235.2583661</v>
      </c>
      <c r="AS34" s="289">
        <v>-1226093235.2583661</v>
      </c>
    </row>
    <row r="35" spans="1:45" ht="15" customHeight="1" x14ac:dyDescent="0.25">
      <c r="A35" s="50" t="s">
        <v>282</v>
      </c>
      <c r="B35" s="51"/>
      <c r="C35" s="326" t="s">
        <v>241</v>
      </c>
      <c r="D35" s="74"/>
      <c r="E35" s="104">
        <v>56981843236.513237</v>
      </c>
      <c r="F35" s="104">
        <v>16065536417.097858</v>
      </c>
      <c r="H35" s="104">
        <v>8956967557.0213966</v>
      </c>
      <c r="I35" s="104">
        <v>-2461064130.7694316</v>
      </c>
      <c r="K35" s="104">
        <v>11138021152.882027</v>
      </c>
      <c r="L35" s="183"/>
      <c r="M35" s="183"/>
      <c r="N35" s="104">
        <v>56981843236.513237</v>
      </c>
      <c r="O35" s="104">
        <v>8956967557.0213966</v>
      </c>
      <c r="P35" s="104">
        <v>48024875679.491867</v>
      </c>
      <c r="Q35" s="104">
        <v>11138021152.882027</v>
      </c>
      <c r="R35" s="104">
        <v>36886854526.60984</v>
      </c>
      <c r="S35" s="104">
        <v>36886854526.60984</v>
      </c>
      <c r="U35" s="104">
        <v>33954025167.01442</v>
      </c>
      <c r="V35" s="104">
        <v>17888488749.916512</v>
      </c>
      <c r="W35" s="104">
        <v>16065536417.097858</v>
      </c>
      <c r="X35" s="104">
        <v>-2461064130.7694316</v>
      </c>
      <c r="Y35" s="104">
        <v>18526600547.867294</v>
      </c>
      <c r="Z35" s="104">
        <v>15097220458.220123</v>
      </c>
      <c r="AA35" s="104">
        <v>3429380089.6472244</v>
      </c>
      <c r="AC35" s="104">
        <v>-483920150.48391342</v>
      </c>
      <c r="AD35" s="104">
        <v>1934928834.848974</v>
      </c>
      <c r="AE35" s="104">
        <v>-2418848985.3328953</v>
      </c>
      <c r="AF35" s="104">
        <v>7787380791.4514427</v>
      </c>
      <c r="AG35" s="104">
        <v>-10206229776.784376</v>
      </c>
      <c r="AH35" s="104">
        <v>2158224735.2154851</v>
      </c>
      <c r="AI35" s="104">
        <v>-12364454511.999855</v>
      </c>
      <c r="AJ35" s="104">
        <v>-12364454511.999855</v>
      </c>
      <c r="AL35" s="104">
        <v>7822110749.2923155</v>
      </c>
      <c r="AM35" s="104">
        <v>354713558.55307388</v>
      </c>
      <c r="AN35" s="104">
        <v>7467397190.7392416</v>
      </c>
      <c r="AO35" s="104">
        <v>-3525699545.7422285</v>
      </c>
      <c r="AP35" s="104">
        <v>10993096736.48147</v>
      </c>
      <c r="AQ35" s="104">
        <v>-10018596417.353277</v>
      </c>
      <c r="AR35" s="104">
        <v>21011693153.834747</v>
      </c>
      <c r="AS35" s="104">
        <v>21011693153.834747</v>
      </c>
    </row>
    <row r="36" spans="1:45" ht="15" customHeight="1" x14ac:dyDescent="0.25">
      <c r="A36" s="50" t="s">
        <v>283</v>
      </c>
      <c r="B36" s="51"/>
      <c r="C36" s="97" t="s">
        <v>140</v>
      </c>
      <c r="D36" s="74"/>
      <c r="E36" s="104">
        <v>-7568325507.3666296</v>
      </c>
      <c r="F36" s="104">
        <v>-2429556792.0691872</v>
      </c>
      <c r="H36" s="105">
        <v>2077954020.4772968</v>
      </c>
      <c r="I36" s="105">
        <v>104689043.99690819</v>
      </c>
      <c r="K36" s="105">
        <v>-968920079.18318892</v>
      </c>
      <c r="L36" s="183"/>
      <c r="M36" s="183"/>
      <c r="N36" s="105">
        <v>-7568325507.3666296</v>
      </c>
      <c r="O36" s="105">
        <v>2077954020.4772968</v>
      </c>
      <c r="P36" s="105">
        <v>-9646279527.8439236</v>
      </c>
      <c r="Q36" s="105">
        <v>-968920079.18318892</v>
      </c>
      <c r="R36" s="105">
        <v>-8677359448.6607361</v>
      </c>
      <c r="S36" s="105">
        <v>-8677359448.6607361</v>
      </c>
      <c r="U36" s="105">
        <v>-1778018561.2177029</v>
      </c>
      <c r="V36" s="105">
        <v>651538230.85147095</v>
      </c>
      <c r="W36" s="105">
        <v>-2429556792.0691872</v>
      </c>
      <c r="X36" s="105">
        <v>104689043.99690819</v>
      </c>
      <c r="Y36" s="105">
        <v>-2534245836.0660973</v>
      </c>
      <c r="Z36" s="105">
        <v>-11218140441.956089</v>
      </c>
      <c r="AA36" s="105">
        <v>8683894605.8900051</v>
      </c>
      <c r="AC36" s="105">
        <v>19281229064.427052</v>
      </c>
      <c r="AD36" s="105">
        <v>11246286414.942348</v>
      </c>
      <c r="AE36" s="105">
        <v>8034942649.484724</v>
      </c>
      <c r="AF36" s="105">
        <v>3528646294.0647197</v>
      </c>
      <c r="AG36" s="105">
        <v>4506296355.4199877</v>
      </c>
      <c r="AH36" s="105">
        <v>2432155621.7499986</v>
      </c>
      <c r="AI36" s="105">
        <v>2074140733.6699939</v>
      </c>
      <c r="AJ36" s="105">
        <v>2074140733.6699939</v>
      </c>
      <c r="AL36" s="105">
        <v>-14876501277.104897</v>
      </c>
      <c r="AM36" s="105">
        <v>20759182213.819992</v>
      </c>
      <c r="AN36" s="105">
        <v>-35635683490.924889</v>
      </c>
      <c r="AO36" s="105">
        <v>-8076794910.2096596</v>
      </c>
      <c r="AP36" s="105">
        <v>-27558888580.715229</v>
      </c>
      <c r="AQ36" s="105">
        <v>-1305041263.9329834</v>
      </c>
      <c r="AR36" s="105">
        <v>-26253847316.782246</v>
      </c>
      <c r="AS36" s="105">
        <v>-26253847316.782246</v>
      </c>
    </row>
    <row r="37" spans="1:45" ht="15" customHeight="1" x14ac:dyDescent="0.25">
      <c r="A37" s="50" t="s">
        <v>284</v>
      </c>
      <c r="B37" s="51"/>
      <c r="C37" s="90" t="s">
        <v>242</v>
      </c>
      <c r="D37" s="74"/>
      <c r="E37" s="107">
        <v>49413517729.146614</v>
      </c>
      <c r="F37" s="107">
        <v>13635979625.028652</v>
      </c>
      <c r="H37" s="107">
        <v>11034921577.498703</v>
      </c>
      <c r="I37" s="107">
        <v>-2356375086.7725163</v>
      </c>
      <c r="K37" s="107">
        <v>10169101073.698837</v>
      </c>
      <c r="L37" s="183"/>
      <c r="M37" s="183"/>
      <c r="N37" s="107">
        <v>49413517729.146614</v>
      </c>
      <c r="O37" s="107">
        <v>11034921577.498703</v>
      </c>
      <c r="P37" s="107">
        <v>38378596151.647926</v>
      </c>
      <c r="Q37" s="107">
        <v>10169101073.698837</v>
      </c>
      <c r="R37" s="107">
        <v>28209495077.949097</v>
      </c>
      <c r="S37" s="107">
        <v>28209495077.949097</v>
      </c>
      <c r="U37" s="107">
        <v>32176006605.796726</v>
      </c>
      <c r="V37" s="107">
        <v>18540026980.767986</v>
      </c>
      <c r="W37" s="107">
        <v>13635979625.028652</v>
      </c>
      <c r="X37" s="107">
        <v>-2356375086.7725163</v>
      </c>
      <c r="Y37" s="107">
        <v>15992354711.801188</v>
      </c>
      <c r="Z37" s="107">
        <v>3879080016.2640438</v>
      </c>
      <c r="AA37" s="107">
        <v>12113274695.537224</v>
      </c>
      <c r="AC37" s="107">
        <v>18797308913.943134</v>
      </c>
      <c r="AD37" s="107">
        <v>13181215249.791309</v>
      </c>
      <c r="AE37" s="107">
        <v>5616093664.1518803</v>
      </c>
      <c r="AF37" s="107">
        <v>11316027085.516144</v>
      </c>
      <c r="AG37" s="107">
        <v>-5699933421.3643827</v>
      </c>
      <c r="AH37" s="107">
        <v>4590380356.9654865</v>
      </c>
      <c r="AI37" s="107">
        <v>-10290313778.329855</v>
      </c>
      <c r="AJ37" s="107">
        <v>-10290313778.329855</v>
      </c>
      <c r="AL37" s="107">
        <v>-7054390527.812603</v>
      </c>
      <c r="AM37" s="107">
        <v>21113895772.373051</v>
      </c>
      <c r="AN37" s="107">
        <v>-28168286300.185654</v>
      </c>
      <c r="AO37" s="107">
        <v>-11602494455.951887</v>
      </c>
      <c r="AP37" s="107">
        <v>-16565791844.233767</v>
      </c>
      <c r="AQ37" s="107">
        <v>-11323637681.286264</v>
      </c>
      <c r="AR37" s="107">
        <v>-5242154162.9475012</v>
      </c>
      <c r="AS37" s="107">
        <v>-5242154162.9475012</v>
      </c>
    </row>
    <row r="38" spans="1:45" ht="15" customHeight="1" x14ac:dyDescent="0.25">
      <c r="A38" s="50" t="s">
        <v>143</v>
      </c>
      <c r="B38" s="51"/>
      <c r="C38" s="90" t="s">
        <v>124</v>
      </c>
      <c r="D38" s="74"/>
      <c r="E38" s="107">
        <v>17853141436.599998</v>
      </c>
      <c r="F38" s="107">
        <v>21342530364.23</v>
      </c>
      <c r="H38" s="107">
        <v>4645168214.9100008</v>
      </c>
      <c r="I38" s="107">
        <v>5264253576.5999994</v>
      </c>
      <c r="K38" s="107">
        <v>10282504600.150002</v>
      </c>
      <c r="L38" s="183"/>
      <c r="M38" s="183"/>
      <c r="N38" s="107">
        <v>17853141436.599998</v>
      </c>
      <c r="O38" s="107">
        <v>4645168214.9100008</v>
      </c>
      <c r="P38" s="107">
        <v>13207973221.690002</v>
      </c>
      <c r="Q38" s="107">
        <v>10282504600.150002</v>
      </c>
      <c r="R38" s="107">
        <v>2925468621.5400009</v>
      </c>
      <c r="S38" s="107">
        <v>2925468621.5400009</v>
      </c>
      <c r="U38" s="107">
        <v>23267873486.099995</v>
      </c>
      <c r="V38" s="107">
        <v>1925343121.8699985</v>
      </c>
      <c r="W38" s="107">
        <v>21342530364.23</v>
      </c>
      <c r="X38" s="107">
        <v>5264253576.5999994</v>
      </c>
      <c r="Y38" s="107">
        <v>16078276787.630003</v>
      </c>
      <c r="Z38" s="107">
        <v>11586923683.800003</v>
      </c>
      <c r="AA38" s="107">
        <v>4491353103.829999</v>
      </c>
      <c r="AC38" s="107">
        <v>7023308295.9900017</v>
      </c>
      <c r="AD38" s="107">
        <v>6313022712.7099981</v>
      </c>
      <c r="AE38" s="107">
        <v>710285583.27999961</v>
      </c>
      <c r="AF38" s="107">
        <v>2411811206.2699995</v>
      </c>
      <c r="AG38" s="107">
        <v>-1701525622.990001</v>
      </c>
      <c r="AH38" s="107">
        <v>-934167499.21999919</v>
      </c>
      <c r="AI38" s="107">
        <v>-767358123.76999938</v>
      </c>
      <c r="AJ38" s="107">
        <v>-767358123.76999938</v>
      </c>
      <c r="AL38" s="107">
        <v>14039597157.120008</v>
      </c>
      <c r="AM38" s="107">
        <v>-6162141651.0099773</v>
      </c>
      <c r="AN38" s="107">
        <v>20201738808.129986</v>
      </c>
      <c r="AO38" s="107">
        <v>-1346071976.7000008</v>
      </c>
      <c r="AP38" s="107">
        <v>21547810784.829987</v>
      </c>
      <c r="AQ38" s="107">
        <v>13102231286.469986</v>
      </c>
      <c r="AR38" s="107">
        <v>8445579498.3599997</v>
      </c>
      <c r="AS38" s="107">
        <v>8445579498.3599997</v>
      </c>
    </row>
    <row r="39" spans="1:45" ht="15" customHeight="1" x14ac:dyDescent="0.25">
      <c r="A39" s="331" t="s">
        <v>292</v>
      </c>
      <c r="B39" s="51"/>
      <c r="C39" s="90" t="s">
        <v>296</v>
      </c>
      <c r="D39" s="74"/>
      <c r="E39" s="92">
        <v>-617576376.74813557</v>
      </c>
      <c r="F39" s="92">
        <v>0</v>
      </c>
      <c r="H39" s="92">
        <v>-592446026.76021588</v>
      </c>
      <c r="I39" s="92">
        <v>0</v>
      </c>
      <c r="K39" s="107">
        <v>-25130349.987919461</v>
      </c>
      <c r="L39" s="183"/>
      <c r="M39" s="183"/>
      <c r="N39" s="92">
        <v>-617576376.74813557</v>
      </c>
      <c r="O39" s="92">
        <v>-592446026.76021588</v>
      </c>
      <c r="P39" s="92">
        <v>-25130349.987919461</v>
      </c>
      <c r="Q39" s="92">
        <v>-25130349.987919461</v>
      </c>
      <c r="R39" s="92">
        <v>0</v>
      </c>
      <c r="S39" s="92">
        <v>0</v>
      </c>
      <c r="U39" s="92">
        <v>0</v>
      </c>
      <c r="V39" s="92">
        <v>0</v>
      </c>
      <c r="W39" s="92">
        <v>0</v>
      </c>
      <c r="X39" s="92">
        <v>0</v>
      </c>
      <c r="Y39" s="92">
        <v>0</v>
      </c>
      <c r="Z39" s="92">
        <v>0</v>
      </c>
      <c r="AA39" s="92">
        <v>0</v>
      </c>
      <c r="AC39" s="92">
        <v>0</v>
      </c>
      <c r="AD39" s="92">
        <v>0</v>
      </c>
      <c r="AE39" s="92">
        <v>0</v>
      </c>
      <c r="AF39" s="92">
        <v>0</v>
      </c>
      <c r="AG39" s="92">
        <v>0</v>
      </c>
      <c r="AH39" s="92">
        <v>0</v>
      </c>
      <c r="AI39" s="92">
        <v>0</v>
      </c>
      <c r="AJ39" s="107">
        <v>0</v>
      </c>
      <c r="AL39" s="92" t="s">
        <v>331</v>
      </c>
      <c r="AM39" s="92" t="s">
        <v>331</v>
      </c>
      <c r="AN39" s="92" t="s">
        <v>331</v>
      </c>
      <c r="AO39" s="92" t="s">
        <v>331</v>
      </c>
      <c r="AP39" s="92" t="s">
        <v>331</v>
      </c>
      <c r="AQ39" s="92" t="s">
        <v>331</v>
      </c>
      <c r="AR39" s="92" t="s">
        <v>331</v>
      </c>
      <c r="AS39" s="107">
        <v>0</v>
      </c>
    </row>
    <row r="40" spans="1:45" ht="18" customHeight="1" x14ac:dyDescent="0.25">
      <c r="A40" s="50" t="s">
        <v>130</v>
      </c>
      <c r="B40" s="51"/>
      <c r="C40" s="262" t="s">
        <v>130</v>
      </c>
      <c r="D40" s="74"/>
      <c r="E40" s="252">
        <v>66649082788.998474</v>
      </c>
      <c r="F40" s="252">
        <v>34978509989.258652</v>
      </c>
      <c r="H40" s="252">
        <v>15087643765.648487</v>
      </c>
      <c r="I40" s="252">
        <v>2907878489.8274832</v>
      </c>
      <c r="K40" s="252">
        <v>20426475323.86092</v>
      </c>
      <c r="L40" s="184"/>
      <c r="M40" s="184"/>
      <c r="N40" s="252">
        <v>66649082788.998474</v>
      </c>
      <c r="O40" s="252">
        <v>15087643765.648487</v>
      </c>
      <c r="P40" s="252">
        <v>51561439023.350006</v>
      </c>
      <c r="Q40" s="252">
        <v>20426475323.86092</v>
      </c>
      <c r="R40" s="252">
        <v>31134963699.489098</v>
      </c>
      <c r="S40" s="252">
        <v>31134963699.489098</v>
      </c>
      <c r="U40" s="252">
        <v>55443880091.896721</v>
      </c>
      <c r="V40" s="252">
        <v>20465370102.637985</v>
      </c>
      <c r="W40" s="252">
        <v>34978509989.258652</v>
      </c>
      <c r="X40" s="252">
        <v>2907878489.8274832</v>
      </c>
      <c r="Y40" s="252">
        <v>32070631499.43119</v>
      </c>
      <c r="Z40" s="252">
        <v>15466003700.064047</v>
      </c>
      <c r="AA40" s="252">
        <v>16604627799.367222</v>
      </c>
      <c r="AC40" s="252">
        <v>25820617209.933136</v>
      </c>
      <c r="AD40" s="252">
        <v>19494237962.501308</v>
      </c>
      <c r="AE40" s="252">
        <v>6326379247.43188</v>
      </c>
      <c r="AF40" s="252">
        <v>13727838291.786144</v>
      </c>
      <c r="AG40" s="252">
        <v>-7401459044.3543835</v>
      </c>
      <c r="AH40" s="252">
        <v>3656212857.7454872</v>
      </c>
      <c r="AI40" s="252">
        <v>-11057671902.099854</v>
      </c>
      <c r="AJ40" s="252">
        <v>-11057671902.099854</v>
      </c>
      <c r="AL40" s="252">
        <v>6985206629.3074055</v>
      </c>
      <c r="AM40" s="252">
        <v>14951754121.363073</v>
      </c>
      <c r="AN40" s="252">
        <v>-7966547492.0556679</v>
      </c>
      <c r="AO40" s="252">
        <v>-12948566432.651888</v>
      </c>
      <c r="AP40" s="252">
        <v>4982018940.59622</v>
      </c>
      <c r="AQ40" s="252">
        <v>1778593605.1837215</v>
      </c>
      <c r="AR40" s="252">
        <v>3203425335.4124985</v>
      </c>
      <c r="AS40" s="252">
        <v>3203425335.4124985</v>
      </c>
    </row>
    <row r="41" spans="1:45" x14ac:dyDescent="0.2">
      <c r="A41" s="50" t="s">
        <v>144</v>
      </c>
      <c r="B41" s="51"/>
      <c r="C41" s="263" t="s">
        <v>141</v>
      </c>
      <c r="D41" s="253"/>
      <c r="E41" s="264">
        <v>68746756664.180359</v>
      </c>
      <c r="F41" s="264">
        <v>34901801852.20787</v>
      </c>
      <c r="G41" s="1"/>
      <c r="H41" s="264">
        <v>12486084895.025694</v>
      </c>
      <c r="I41" s="264">
        <v>3428627390.8405781</v>
      </c>
      <c r="J41" s="1"/>
      <c r="K41" s="264">
        <v>16511651508.814919</v>
      </c>
      <c r="L41" s="254"/>
      <c r="M41" s="254"/>
      <c r="N41" s="264">
        <v>68746756664.180359</v>
      </c>
      <c r="O41" s="264">
        <v>12486084895.025694</v>
      </c>
      <c r="P41" s="264">
        <v>56260671769.154724</v>
      </c>
      <c r="Q41" s="264">
        <v>16511651508.814919</v>
      </c>
      <c r="R41" s="264">
        <v>39749020260.339798</v>
      </c>
      <c r="S41" s="264">
        <v>39749020260.339798</v>
      </c>
      <c r="T41" s="1"/>
      <c r="U41" s="264">
        <v>55972115970.634415</v>
      </c>
      <c r="V41" s="264">
        <v>21070314118.42651</v>
      </c>
      <c r="W41" s="264">
        <v>34901801852.20787</v>
      </c>
      <c r="X41" s="264">
        <v>3428627390.8405781</v>
      </c>
      <c r="Y41" s="264">
        <v>31473174461.36729</v>
      </c>
      <c r="Z41" s="264">
        <v>23726435067.890133</v>
      </c>
      <c r="AA41" s="264">
        <v>7746739393.4772224</v>
      </c>
      <c r="AB41" s="1"/>
      <c r="AC41" s="264">
        <v>6150221376.2260656</v>
      </c>
      <c r="AD41" s="264">
        <v>6897498963.8390055</v>
      </c>
      <c r="AE41" s="264">
        <v>-747277587.61290836</v>
      </c>
      <c r="AF41" s="264">
        <v>11276154436.231462</v>
      </c>
      <c r="AG41" s="264">
        <v>-12023432023.844372</v>
      </c>
      <c r="AH41" s="264">
        <v>-696449448.96452141</v>
      </c>
      <c r="AI41" s="264">
        <v>-11326982574.879837</v>
      </c>
      <c r="AJ41" s="264">
        <v>-11326982574.879837</v>
      </c>
      <c r="AK41" s="1"/>
      <c r="AL41" s="264">
        <v>26121774110.282272</v>
      </c>
      <c r="AM41" s="264">
        <v>-3764518561.6869431</v>
      </c>
      <c r="AN41" s="264">
        <v>29886292671.969215</v>
      </c>
      <c r="AO41" s="264">
        <v>-1531622878.3617172</v>
      </c>
      <c r="AP41" s="264">
        <v>31417915550.330933</v>
      </c>
      <c r="AQ41" s="264">
        <v>1178230557.3261948</v>
      </c>
      <c r="AR41" s="264">
        <v>30239684993.004738</v>
      </c>
      <c r="AS41" s="264">
        <v>30239684993.004738</v>
      </c>
    </row>
    <row r="42" spans="1:45" x14ac:dyDescent="0.2">
      <c r="A42" s="50" t="s">
        <v>145</v>
      </c>
      <c r="B42" s="51"/>
      <c r="C42" s="263" t="s">
        <v>142</v>
      </c>
      <c r="D42" s="253"/>
      <c r="E42" s="264">
        <v>-2097673875.181942</v>
      </c>
      <c r="F42" s="264">
        <v>76708137.050823748</v>
      </c>
      <c r="G42" s="1"/>
      <c r="H42" s="264">
        <v>2601558870.622798</v>
      </c>
      <c r="I42" s="264">
        <v>-520748901.01309222</v>
      </c>
      <c r="J42" s="1"/>
      <c r="K42" s="264">
        <v>3914823815.0459909</v>
      </c>
      <c r="L42" s="254"/>
      <c r="M42" s="254"/>
      <c r="N42" s="264">
        <v>-2097673875.181942</v>
      </c>
      <c r="O42" s="264">
        <v>2601558870.622798</v>
      </c>
      <c r="P42" s="264">
        <v>-4699232745.8047409</v>
      </c>
      <c r="Q42" s="264">
        <v>3914823815.0459909</v>
      </c>
      <c r="R42" s="264">
        <v>-8614056560.8507404</v>
      </c>
      <c r="S42" s="264">
        <v>-8614056560.8507404</v>
      </c>
      <c r="T42" s="1"/>
      <c r="U42" s="264">
        <v>-528235878.73770738</v>
      </c>
      <c r="V42" s="264">
        <v>-604944015.78852725</v>
      </c>
      <c r="W42" s="264">
        <v>76708137.050823748</v>
      </c>
      <c r="X42" s="264">
        <v>-520748901.01309222</v>
      </c>
      <c r="Y42" s="264">
        <v>597457038.06390262</v>
      </c>
      <c r="Z42" s="264">
        <v>-8260431367.826088</v>
      </c>
      <c r="AA42" s="264">
        <v>8857888405.8899994</v>
      </c>
      <c r="AB42" s="1"/>
      <c r="AC42" s="264">
        <v>19670395833.707073</v>
      </c>
      <c r="AD42" s="264">
        <v>12596738998.66234</v>
      </c>
      <c r="AE42" s="264">
        <v>7073656835.0447283</v>
      </c>
      <c r="AF42" s="264">
        <v>2451683855.554719</v>
      </c>
      <c r="AG42" s="264">
        <v>4621972979.4899921</v>
      </c>
      <c r="AH42" s="264">
        <v>4352662306.71</v>
      </c>
      <c r="AI42" s="264">
        <v>269310672.7799949</v>
      </c>
      <c r="AJ42" s="264">
        <v>269310672.7799949</v>
      </c>
      <c r="AK42" s="1"/>
      <c r="AL42" s="264">
        <v>-19136567480.974895</v>
      </c>
      <c r="AM42" s="264">
        <v>18716272683.049969</v>
      </c>
      <c r="AN42" s="264">
        <v>-37852840164.024864</v>
      </c>
      <c r="AO42" s="264">
        <v>-11416943554.290169</v>
      </c>
      <c r="AP42" s="264">
        <v>-26435896609.734695</v>
      </c>
      <c r="AQ42" s="264">
        <v>600363047.8575592</v>
      </c>
      <c r="AR42" s="264">
        <v>-27036259657.592255</v>
      </c>
      <c r="AS42" s="264">
        <v>-27036259657.592255</v>
      </c>
    </row>
    <row r="43" spans="1:45" hidden="1" outlineLevel="1" x14ac:dyDescent="0.2">
      <c r="A43" s="50"/>
      <c r="B43" s="2"/>
      <c r="C43" s="63"/>
      <c r="D43" s="74"/>
      <c r="E43" s="348">
        <f>ROUND(E40-SUM(E28:E31,E36,E38,E39)+E31-SUM(E32:E34)+E40-(E35+E36+E38+E39)+E40-(E37+E38+E39),3)</f>
        <v>-770540.02</v>
      </c>
      <c r="F43" s="272">
        <f>ROUND(F40-SUM(F28:F31,F36,F38)+F31-SUM(F32:F34)+F40-(F35+F36+F38)+F40-(F37+F38),3)</f>
        <v>0</v>
      </c>
      <c r="H43" s="272">
        <f>ROUND(H40-SUM(H28:H31,H36,H38,H39)+H31-SUM(H32:H34)+H40-(H35+H36+H38+H39)+H40-(H37+H38+H39),3)</f>
        <v>-770540.02</v>
      </c>
      <c r="I43" s="272">
        <f>ROUND(I40-SUM(I28:I31,I36,I38)+I31-SUM(I32:I34)+I40-(I35+I36+I38)+I40-(I37+I38),3)</f>
        <v>0</v>
      </c>
      <c r="K43" s="272">
        <f>ROUND(K40-SUM(K28:K31,K36,K38)+K31-SUM(K32:K34)+K40-(K35+K36+K38)+K40-(K37+K38),3)</f>
        <v>-75391049.964000002</v>
      </c>
      <c r="N43" s="272">
        <f>ROUND(N40-SUM(N28:N31,N36,N38,N39)+N31-SUM(N32:N34)+N40-(N35+N36+N38+N39)+N40-(N37+N38+N39),3)</f>
        <v>-770540.02</v>
      </c>
      <c r="O43" s="272">
        <f>ROUND(O40-SUM(O28:O31,O36,O38,O39)+O31-SUM(O32:O34)+O40-(O35+O36+O38+O39)+O40-(O37+O38+O39),3)</f>
        <v>-770540.02</v>
      </c>
      <c r="P43" s="272">
        <f>ROUND(P40-SUM(P28:P31,P36,P38,P39)+P31-SUM(P32:P34)+P40-(P35+P36+P38+P39)+P40-(P37+P38+P39),3)</f>
        <v>0</v>
      </c>
      <c r="Q43" s="272">
        <f>ROUND(Q40-SUM(Q28:Q31,Q36,Q38,Q39)+Q31-SUM(Q32:Q34)+Q40-(Q35+Q36+Q38+Q39)+Q40-(Q37+Q38+Q39),3)</f>
        <v>0</v>
      </c>
      <c r="R43" s="272">
        <f t="shared" ref="R43:Y43" si="49">ROUND(R40-SUM(R28:R31,R36,R38)+R31-SUM(R32:R34)+R40-(R35+R36+R38)+R40-(R37+R38),3)</f>
        <v>0</v>
      </c>
      <c r="S43" s="272">
        <f t="shared" si="49"/>
        <v>0</v>
      </c>
      <c r="U43" s="272">
        <f t="shared" si="49"/>
        <v>0</v>
      </c>
      <c r="V43" s="272">
        <f t="shared" si="49"/>
        <v>0</v>
      </c>
      <c r="W43" s="272">
        <f t="shared" si="49"/>
        <v>0</v>
      </c>
      <c r="X43" s="272">
        <f t="shared" si="49"/>
        <v>0</v>
      </c>
      <c r="Y43" s="272">
        <f t="shared" si="49"/>
        <v>0</v>
      </c>
      <c r="Z43" s="272">
        <f t="shared" ref="Z43:AA43" si="50">ROUND(Z40-SUM(Z28:Z31,Z36,Z38)+Z31-SUM(Z32:Z34)+Z40-(Z35+Z36+Z38)+Z40-(Z37+Z38),3)</f>
        <v>0</v>
      </c>
      <c r="AA43" s="272">
        <f t="shared" si="50"/>
        <v>0</v>
      </c>
      <c r="AC43" s="272">
        <f t="shared" ref="AC43:AJ43" si="51">ROUND(AC40-SUM(AC28:AC31,AC36,AC38)+AC31-SUM(AC32:AC34)+AC40-(AC35+AC36+AC38)+AC40-(AC37+AC38),3)</f>
        <v>0</v>
      </c>
      <c r="AD43" s="272">
        <f t="shared" si="51"/>
        <v>0</v>
      </c>
      <c r="AE43" s="272">
        <f t="shared" si="51"/>
        <v>0</v>
      </c>
      <c r="AF43" s="272">
        <f t="shared" si="51"/>
        <v>0</v>
      </c>
      <c r="AG43" s="272">
        <f t="shared" si="51"/>
        <v>0</v>
      </c>
      <c r="AH43" s="272">
        <f t="shared" si="51"/>
        <v>0</v>
      </c>
      <c r="AI43" s="272">
        <f t="shared" si="51"/>
        <v>0</v>
      </c>
      <c r="AJ43" s="272">
        <f t="shared" si="51"/>
        <v>0</v>
      </c>
      <c r="AL43" s="327">
        <f t="shared" ref="AL43:AS43" si="52">ROUND(AL40-SUM(AL28:AL31,AL36,AL38)+AL31-SUM(AL32:AL34)+AL40-(AL35+AL36+AL38)+AL40-(AL37+AL38),3)</f>
        <v>167484606.33000001</v>
      </c>
      <c r="AM43" s="327">
        <f t="shared" si="52"/>
        <v>-182427884.91</v>
      </c>
      <c r="AN43" s="327">
        <f t="shared" si="52"/>
        <v>349912491.24000001</v>
      </c>
      <c r="AO43" s="327">
        <f t="shared" si="52"/>
        <v>133903783.90899999</v>
      </c>
      <c r="AP43" s="327">
        <f t="shared" si="52"/>
        <v>216008707.331</v>
      </c>
      <c r="AQ43" s="327">
        <f t="shared" si="52"/>
        <v>145059237.05000001</v>
      </c>
      <c r="AR43" s="327">
        <f t="shared" si="52"/>
        <v>70949470.280000001</v>
      </c>
      <c r="AS43" s="327">
        <f t="shared" si="52"/>
        <v>70949470.280000001</v>
      </c>
    </row>
    <row r="44" spans="1:45" collapsed="1" x14ac:dyDescent="0.2">
      <c r="A44" s="50"/>
      <c r="B44" s="2"/>
      <c r="C44" s="63"/>
      <c r="D44" s="74"/>
      <c r="E44" s="272"/>
      <c r="F44" s="272"/>
      <c r="H44" s="272"/>
      <c r="K44" s="272"/>
      <c r="N44" s="272"/>
      <c r="P44" s="272"/>
      <c r="R44" s="272"/>
      <c r="U44" s="272"/>
      <c r="W44" s="272"/>
      <c r="Y44" s="272"/>
      <c r="AA44" s="272"/>
      <c r="AC44" s="272"/>
      <c r="AE44" s="272"/>
      <c r="AG44" s="272"/>
      <c r="AI44" s="272"/>
      <c r="AL44" s="272"/>
      <c r="AN44" s="272"/>
      <c r="AP44" s="272"/>
      <c r="AR44" s="272"/>
    </row>
    <row r="45" spans="1:45" ht="34.799999999999997" x14ac:dyDescent="0.3">
      <c r="A45" s="11"/>
      <c r="C45" s="324" t="s">
        <v>234</v>
      </c>
      <c r="D45"/>
      <c r="E45" s="242"/>
      <c r="F45" s="147"/>
      <c r="N45" s="121" t="s">
        <v>249</v>
      </c>
    </row>
    <row r="46" spans="1:45" ht="17.399999999999999" x14ac:dyDescent="0.3">
      <c r="A46" s="11"/>
      <c r="C46" s="121"/>
      <c r="D46"/>
      <c r="E46" s="242"/>
      <c r="F46" s="147"/>
      <c r="N46" s="121"/>
    </row>
    <row r="47" spans="1:45" ht="15.6" x14ac:dyDescent="0.3">
      <c r="A47" s="11"/>
      <c r="C47" s="176" t="s">
        <v>211</v>
      </c>
      <c r="D47"/>
      <c r="E47" s="242"/>
      <c r="F47" s="147"/>
    </row>
    <row r="48" spans="1:45" ht="27.75" customHeight="1" x14ac:dyDescent="0.25">
      <c r="A48" s="233" t="s">
        <v>175</v>
      </c>
      <c r="B48" s="2"/>
      <c r="C48" s="14" t="s">
        <v>127</v>
      </c>
      <c r="D48" s="74"/>
      <c r="E48" s="62" t="str">
        <f>"AuM 
"&amp;TEXT(DAY(E$1),"00")&amp;"."&amp;TEXT(MONTH(E$1),"00")&amp;"."&amp;YEAR(E$1)</f>
        <v>AuM 
30.09.2025</v>
      </c>
      <c r="F48" s="62" t="str">
        <f>"AuM 
"&amp;TEXT(DAY(F$1),"00")&amp;"."&amp;TEXT(MONTH(F$1),"00")&amp;"."&amp;YEAR(F$1)</f>
        <v>AuM 
30.09.2024</v>
      </c>
      <c r="G48" s="62" t="str">
        <f>"%ch. 
/ "&amp;TEXT(DAY(F$1),"00")&amp;"."&amp;TEXT(MONTH(F$1),"00")&amp;"."&amp;YEAR(F$1)</f>
        <v>%ch. 
/ 30.09.2024</v>
      </c>
      <c r="H48" s="62" t="str">
        <f>"AuM 
"&amp;TEXT(DAY(H$1),"00")&amp;"."&amp;TEXT(MONTH(H$1),"00")&amp;"."&amp;YEAR(H$1)</f>
        <v>AuM 
30.06.2025</v>
      </c>
      <c r="I48" s="62" t="str">
        <f>"%ch. 
/ "&amp;TEXT(DAY(H$1),"00")&amp;"."&amp;TEXT(MONTH(H$1),"00")&amp;"."&amp;YEAR(H$1)</f>
        <v>%ch. 
/ 30.06.2025</v>
      </c>
      <c r="K48" s="62" t="str">
        <f>"AuM 
"&amp;TEXT(DAY(K$1),"00")&amp;"."&amp;TEXT(MONTH(K$1),"00")&amp;"."&amp;YEAR(K$1)</f>
        <v>AuM 
31.12.2024</v>
      </c>
      <c r="L48" s="62" t="str">
        <f>"%ch. 
/ "&amp;TEXT(DAY(K$1),"00")&amp;"."&amp;TEXT(MONTH(K$1),"00")&amp;"."&amp;YEAR(K$1)</f>
        <v>%ch. 
/ 31.12.2024</v>
      </c>
      <c r="N48" s="62" t="str">
        <f t="shared" ref="N48" si="53">"AuM 
"&amp;TEXT(DAY(N$1),"00")&amp;"."&amp;TEXT(MONTH(N$1),"00")&amp;"."&amp;YEAR(N$1)</f>
        <v>AuM 
30.09.2025</v>
      </c>
      <c r="O48" s="108"/>
      <c r="P48" s="62" t="str">
        <f>"AuM 
"&amp;TEXT(DAY(P$1),"00")&amp;"."&amp;TEXT(MONTH(P$1),"00")&amp;"."&amp;YEAR(P$1)</f>
        <v>AuM 
30.06.2025</v>
      </c>
      <c r="Q48" s="108"/>
      <c r="R48" s="62" t="str">
        <f t="shared" ref="R48:AI48" si="54">"AuM 
"&amp;TEXT(DAY(R$1),"00")&amp;"."&amp;TEXT(MONTH(R$1),"00")&amp;"."&amp;YEAR(R$1)</f>
        <v>AuM 
31.03.2025</v>
      </c>
      <c r="S48" s="108"/>
      <c r="U48" s="62" t="str">
        <f t="shared" si="54"/>
        <v>AuM 
31.12.2024</v>
      </c>
      <c r="V48" s="108"/>
      <c r="W48" s="62" t="str">
        <f t="shared" si="54"/>
        <v>AuM 
30.09.2024</v>
      </c>
      <c r="X48" s="108"/>
      <c r="Y48" s="62" t="str">
        <f t="shared" si="54"/>
        <v>AuM 
30.06.2024</v>
      </c>
      <c r="Z48" s="108"/>
      <c r="AA48" s="62" t="str">
        <f t="shared" si="54"/>
        <v>AuM 
31.03.2024</v>
      </c>
      <c r="AC48" s="62" t="str">
        <f t="shared" si="54"/>
        <v>AuM 
31.12.2023</v>
      </c>
      <c r="AD48" s="108"/>
      <c r="AE48" s="62" t="str">
        <f t="shared" si="54"/>
        <v>AuM 
30.09.2023</v>
      </c>
      <c r="AF48" s="108"/>
      <c r="AG48" s="62" t="str">
        <f t="shared" si="54"/>
        <v>AuM 
30.06.2023</v>
      </c>
      <c r="AH48" s="108"/>
      <c r="AI48" s="62" t="str">
        <f t="shared" si="54"/>
        <v>AuM 
31.03.2023</v>
      </c>
      <c r="AJ48" s="108"/>
      <c r="AL48" s="62" t="str">
        <f t="shared" ref="AL48:AR48" si="55">"AuM 
"&amp;TEXT(DAY(AL$1),"00")&amp;"."&amp;TEXT(MONTH(AL$1),"00")&amp;"."&amp;YEAR(AL$1)</f>
        <v>AuM 
31.12.2022</v>
      </c>
      <c r="AM48" s="108"/>
      <c r="AN48" s="62" t="str">
        <f t="shared" si="55"/>
        <v>AuM 
30.09.2022</v>
      </c>
      <c r="AO48" s="108"/>
      <c r="AP48" s="62" t="str">
        <f t="shared" si="55"/>
        <v>AuM 
30.06.2022</v>
      </c>
      <c r="AQ48" s="108"/>
      <c r="AR48" s="62" t="str">
        <f t="shared" si="55"/>
        <v>AuM 
31.03.2022</v>
      </c>
      <c r="AS48" s="108"/>
    </row>
    <row r="49" spans="1:45" ht="15" customHeight="1" x14ac:dyDescent="0.25">
      <c r="A49" s="50" t="s">
        <v>285</v>
      </c>
      <c r="B49" s="51"/>
      <c r="C49" s="90" t="s">
        <v>227</v>
      </c>
      <c r="D49" s="180"/>
      <c r="E49" s="187">
        <v>1133190306312.978</v>
      </c>
      <c r="F49" s="187">
        <v>1135811916109.0815</v>
      </c>
      <c r="G49" s="188">
        <f>IF(ISERROR($E49*F49),"NM",IF($E49*F49&gt;0,IF(E49/F49&gt;2,"NM",E49/F49-1),"NM"))</f>
        <v>-2.3081372531151834E-3</v>
      </c>
      <c r="H49" s="187">
        <v>1117708225012.1235</v>
      </c>
      <c r="I49" s="188">
        <f>IF(ISERROR($E49*H49),"NM",IF($E49*H49&gt;0,IF(E49/H49&gt;2,"NM",E49/H49-1),"NM"))</f>
        <v>1.3851630465264275E-2</v>
      </c>
      <c r="K49" s="187">
        <v>1147587075139.5271</v>
      </c>
      <c r="L49" s="188">
        <f t="shared" ref="L49:L67" si="56">IF(ISERROR($E49*K49),"NM",IF($E49*K49&gt;0,IF(E49/K49&gt;2,"NM",E49/K49-1),"NM"))</f>
        <v>-1.2545251805662461E-2</v>
      </c>
      <c r="N49" s="106">
        <v>1133190306312.978</v>
      </c>
      <c r="O49" s="158"/>
      <c r="P49" s="106">
        <v>1117708225012.1235</v>
      </c>
      <c r="Q49" s="158"/>
      <c r="R49" s="106">
        <v>1148828917199.2417</v>
      </c>
      <c r="S49" s="158"/>
      <c r="U49" s="106">
        <v>1147587075139.5271</v>
      </c>
      <c r="V49" s="158"/>
      <c r="W49" s="106">
        <v>1135811916109.0815</v>
      </c>
      <c r="X49" s="158"/>
      <c r="Y49" s="106">
        <v>1121828718993.0662</v>
      </c>
      <c r="Z49" s="158"/>
      <c r="AA49" s="106">
        <v>1116568918281.239</v>
      </c>
      <c r="AC49" s="106">
        <v>1061718134347.4156</v>
      </c>
      <c r="AD49" s="158"/>
      <c r="AE49" s="106">
        <v>1022005350529.0669</v>
      </c>
      <c r="AF49" s="158"/>
      <c r="AG49" s="106">
        <v>1033417598841.906</v>
      </c>
      <c r="AH49" s="158"/>
      <c r="AI49" s="106">
        <v>1027021586919.686</v>
      </c>
      <c r="AJ49" s="158"/>
      <c r="AL49" s="106">
        <v>1010957570723.1252</v>
      </c>
      <c r="AM49" s="158"/>
      <c r="AN49" s="106">
        <v>1010617731262.6348</v>
      </c>
      <c r="AO49" s="158"/>
      <c r="AP49" s="106">
        <v>1034426408375.4967</v>
      </c>
      <c r="AQ49" s="158"/>
      <c r="AR49" s="106">
        <v>1117214932476.5852</v>
      </c>
      <c r="AS49" s="158"/>
    </row>
    <row r="50" spans="1:45" ht="12" x14ac:dyDescent="0.2">
      <c r="A50" s="11" t="s">
        <v>286</v>
      </c>
      <c r="B50" s="51"/>
      <c r="C50" s="243" t="s">
        <v>133</v>
      </c>
      <c r="D50" s="243"/>
      <c r="E50" s="165">
        <v>199832229332.4762</v>
      </c>
      <c r="F50" s="165">
        <v>207930597617.5105</v>
      </c>
      <c r="G50" s="177">
        <f t="shared" ref="G50:G67" si="57">IF(ISERROR($E50*F50),"NM",IF($E50*F50&gt;0,IF(E50/F50&gt;2,"NM",E50/F50-1),"NM"))</f>
        <v>-3.8947458324201545E-2</v>
      </c>
      <c r="H50" s="197">
        <v>195695894103.79785</v>
      </c>
      <c r="I50" s="177">
        <f t="shared" ref="I50:I67" si="58">IF(ISERROR($E50*H50),"NM",IF($E50*H50&gt;0,IF(E50/H50&gt;2,"NM",E50/H50-1),"NM"))</f>
        <v>2.113654580041624E-2</v>
      </c>
      <c r="K50" s="197">
        <v>206021290303.98889</v>
      </c>
      <c r="L50" s="177">
        <f t="shared" si="56"/>
        <v>-3.0040880543853454E-2</v>
      </c>
      <c r="N50" s="197">
        <v>199832229332.4762</v>
      </c>
      <c r="O50" s="108"/>
      <c r="P50" s="197">
        <v>195695894103.79785</v>
      </c>
      <c r="Q50" s="108"/>
      <c r="R50" s="197">
        <v>204066606401.2876</v>
      </c>
      <c r="S50" s="108"/>
      <c r="U50" s="197">
        <v>206021290303.98889</v>
      </c>
      <c r="V50" s="108"/>
      <c r="W50" s="197">
        <v>207930597617.5105</v>
      </c>
      <c r="X50" s="108"/>
      <c r="Y50" s="197">
        <v>206944252914.67889</v>
      </c>
      <c r="Z50" s="108"/>
      <c r="AA50" s="197">
        <v>208519945535.31665</v>
      </c>
      <c r="AC50" s="197">
        <v>195155078792.68991</v>
      </c>
      <c r="AD50" s="108"/>
      <c r="AE50" s="197">
        <v>186673151123.26263</v>
      </c>
      <c r="AF50" s="108"/>
      <c r="AG50" s="197">
        <v>189061094106.54755</v>
      </c>
      <c r="AH50" s="108"/>
      <c r="AI50" s="197">
        <v>183109148326.23346</v>
      </c>
      <c r="AJ50" s="108"/>
      <c r="AL50" s="197">
        <v>175355505320.76578</v>
      </c>
      <c r="AM50" s="108"/>
      <c r="AN50" s="197">
        <v>167241213162.85522</v>
      </c>
      <c r="AO50" s="108"/>
      <c r="AP50" s="197">
        <v>169975175822.59537</v>
      </c>
      <c r="AQ50" s="108"/>
      <c r="AR50" s="197">
        <v>183354596232.5415</v>
      </c>
      <c r="AS50" s="108"/>
    </row>
    <row r="51" spans="1:45" x14ac:dyDescent="0.2">
      <c r="A51" s="11" t="s">
        <v>287</v>
      </c>
      <c r="B51" s="51"/>
      <c r="C51" s="243" t="s">
        <v>134</v>
      </c>
      <c r="D51" s="243"/>
      <c r="E51" s="165">
        <v>270992009966.35468</v>
      </c>
      <c r="F51" s="165">
        <v>262504350932.47998</v>
      </c>
      <c r="G51" s="177">
        <f t="shared" si="57"/>
        <v>3.2333403251124881E-2</v>
      </c>
      <c r="H51" s="197">
        <v>261296274608.88037</v>
      </c>
      <c r="I51" s="177">
        <f t="shared" si="58"/>
        <v>3.7106290060917591E-2</v>
      </c>
      <c r="K51" s="197">
        <v>262735566434.81036</v>
      </c>
      <c r="L51" s="177">
        <f t="shared" si="56"/>
        <v>3.1424917621851067E-2</v>
      </c>
      <c r="N51" s="197">
        <v>270992009966.35468</v>
      </c>
      <c r="O51" s="158"/>
      <c r="P51" s="197">
        <v>261296274608.88037</v>
      </c>
      <c r="Q51" s="158"/>
      <c r="R51" s="197">
        <v>259706668198.98483</v>
      </c>
      <c r="S51" s="158"/>
      <c r="U51" s="197">
        <v>262735566434.81036</v>
      </c>
      <c r="V51" s="158"/>
      <c r="W51" s="197">
        <v>262504350932.47998</v>
      </c>
      <c r="X51" s="158"/>
      <c r="Y51" s="197">
        <v>271569506020.21997</v>
      </c>
      <c r="Z51" s="158"/>
      <c r="AA51" s="197">
        <v>269526925298.57352</v>
      </c>
      <c r="AC51" s="197">
        <v>269947139738.82791</v>
      </c>
      <c r="AD51" s="158"/>
      <c r="AE51" s="197">
        <v>264905607859.93164</v>
      </c>
      <c r="AF51" s="158"/>
      <c r="AG51" s="197">
        <v>275533301952.74048</v>
      </c>
      <c r="AH51" s="158"/>
      <c r="AI51" s="197">
        <v>278050672478.25519</v>
      </c>
      <c r="AJ51" s="158"/>
      <c r="AL51" s="197">
        <v>278952499265.54156</v>
      </c>
      <c r="AM51" s="158"/>
      <c r="AN51" s="197">
        <v>280152837605.51923</v>
      </c>
      <c r="AO51" s="158"/>
      <c r="AP51" s="197">
        <v>292935034658.22095</v>
      </c>
      <c r="AQ51" s="158"/>
      <c r="AR51" s="197">
        <v>321458048374.85468</v>
      </c>
      <c r="AS51" s="158"/>
    </row>
    <row r="52" spans="1:45" x14ac:dyDescent="0.2">
      <c r="A52" s="11" t="s">
        <v>288</v>
      </c>
      <c r="B52" s="51"/>
      <c r="C52" s="244" t="s">
        <v>135</v>
      </c>
      <c r="D52" s="243"/>
      <c r="E52" s="165">
        <v>662366067014.14709</v>
      </c>
      <c r="F52" s="165">
        <v>665376967559.09094</v>
      </c>
      <c r="G52" s="177">
        <f t="shared" si="57"/>
        <v>-4.5251048529515447E-3</v>
      </c>
      <c r="H52" s="165">
        <v>660716056299.44543</v>
      </c>
      <c r="I52" s="177">
        <f t="shared" si="58"/>
        <v>2.4973068218487882E-3</v>
      </c>
      <c r="K52" s="165">
        <v>678830218400.72778</v>
      </c>
      <c r="L52" s="177">
        <f t="shared" si="56"/>
        <v>-2.4253710191878275E-2</v>
      </c>
      <c r="N52" s="197">
        <v>662366067014.14709</v>
      </c>
      <c r="O52" s="158"/>
      <c r="P52" s="197">
        <v>660716056299.44543</v>
      </c>
      <c r="Q52" s="158"/>
      <c r="R52" s="197">
        <v>685055642598.96936</v>
      </c>
      <c r="S52" s="158"/>
      <c r="U52" s="197">
        <v>678830218400.72778</v>
      </c>
      <c r="V52" s="158"/>
      <c r="W52" s="197">
        <v>665376967559.09094</v>
      </c>
      <c r="X52" s="158"/>
      <c r="Y52" s="197">
        <v>643314960058.16724</v>
      </c>
      <c r="Z52" s="158"/>
      <c r="AA52" s="197">
        <v>638522047447.34888</v>
      </c>
      <c r="AC52" s="197">
        <v>596615915815.89783</v>
      </c>
      <c r="AD52" s="158"/>
      <c r="AE52" s="197">
        <v>570426591545.87268</v>
      </c>
      <c r="AF52" s="158"/>
      <c r="AG52" s="197">
        <v>568823202782.61792</v>
      </c>
      <c r="AH52" s="158"/>
      <c r="AI52" s="197">
        <v>565861766115.19739</v>
      </c>
      <c r="AJ52" s="158"/>
      <c r="AL52" s="197">
        <v>556649566136.81787</v>
      </c>
      <c r="AM52" s="158"/>
      <c r="AN52" s="197">
        <v>563223680494.26038</v>
      </c>
      <c r="AO52" s="158"/>
      <c r="AP52" s="197">
        <v>571516197894.68042</v>
      </c>
      <c r="AQ52" s="158"/>
      <c r="AR52" s="197">
        <v>612402287869.18896</v>
      </c>
      <c r="AS52" s="158"/>
    </row>
    <row r="53" spans="1:45" ht="15" customHeight="1" x14ac:dyDescent="0.25">
      <c r="A53" s="50" t="s">
        <v>281</v>
      </c>
      <c r="B53" s="51"/>
      <c r="C53" s="90" t="s">
        <v>139</v>
      </c>
      <c r="D53" s="180"/>
      <c r="E53" s="187">
        <v>40505526314.749115</v>
      </c>
      <c r="F53" s="187">
        <v>43423810523.874283</v>
      </c>
      <c r="G53" s="188">
        <f t="shared" si="57"/>
        <v>-6.7204701151703516E-2</v>
      </c>
      <c r="H53" s="187">
        <v>41408985373.003876</v>
      </c>
      <c r="I53" s="188">
        <f t="shared" si="58"/>
        <v>-2.1817947243009783E-2</v>
      </c>
      <c r="K53" s="187">
        <v>43760538565.893768</v>
      </c>
      <c r="L53" s="188">
        <f t="shared" si="56"/>
        <v>-7.438236269060805E-2</v>
      </c>
      <c r="N53" s="106">
        <v>40505526314.749115</v>
      </c>
      <c r="O53" s="158"/>
      <c r="P53" s="106">
        <v>41408985373.003876</v>
      </c>
      <c r="Q53" s="158"/>
      <c r="R53" s="106">
        <v>42350534525.926369</v>
      </c>
      <c r="S53" s="158"/>
      <c r="U53" s="106">
        <v>43760538565.893768</v>
      </c>
      <c r="V53" s="158"/>
      <c r="W53" s="106">
        <v>43423810523.874283</v>
      </c>
      <c r="X53" s="158"/>
      <c r="Y53" s="106">
        <v>41515720762.041245</v>
      </c>
      <c r="Z53" s="158"/>
      <c r="AA53" s="106">
        <v>40852538793.042221</v>
      </c>
      <c r="AC53" s="106">
        <v>39443519437.747162</v>
      </c>
      <c r="AD53" s="158"/>
      <c r="AE53" s="106">
        <v>35492494845.369064</v>
      </c>
      <c r="AF53" s="158"/>
      <c r="AG53" s="106">
        <v>35798133227.66037</v>
      </c>
      <c r="AH53" s="158"/>
      <c r="AI53" s="106">
        <v>33485532427.894604</v>
      </c>
      <c r="AJ53" s="158"/>
      <c r="AL53" s="106">
        <v>31377406269.986267</v>
      </c>
      <c r="AM53" s="158"/>
      <c r="AN53" s="106">
        <v>27822270430.352188</v>
      </c>
      <c r="AO53" s="158"/>
      <c r="AP53" s="106">
        <v>28420552677.994049</v>
      </c>
      <c r="AQ53" s="158"/>
      <c r="AR53" s="106">
        <v>31600899856.34436</v>
      </c>
      <c r="AS53" s="158"/>
    </row>
    <row r="54" spans="1:45" ht="15" customHeight="1" x14ac:dyDescent="0.25">
      <c r="A54" s="50" t="s">
        <v>289</v>
      </c>
      <c r="B54" s="51"/>
      <c r="C54" s="90" t="s">
        <v>228</v>
      </c>
      <c r="D54" s="180"/>
      <c r="E54" s="187">
        <v>480942161319.38599</v>
      </c>
      <c r="F54" s="187">
        <v>396897050815.99756</v>
      </c>
      <c r="G54" s="188">
        <f t="shared" si="57"/>
        <v>0.21175544219992681</v>
      </c>
      <c r="H54" s="187">
        <v>445521733238.64081</v>
      </c>
      <c r="I54" s="188">
        <f t="shared" si="58"/>
        <v>7.9503255258195127E-2</v>
      </c>
      <c r="K54" s="187">
        <v>418438803469.6463</v>
      </c>
      <c r="L54" s="188">
        <f t="shared" si="56"/>
        <v>0.14937275733385391</v>
      </c>
      <c r="N54" s="106">
        <v>480942161319.38599</v>
      </c>
      <c r="O54" s="158"/>
      <c r="P54" s="106">
        <v>445521733238.64081</v>
      </c>
      <c r="Q54" s="158"/>
      <c r="R54" s="106">
        <v>445081880990.91144</v>
      </c>
      <c r="S54" s="158"/>
      <c r="U54" s="106">
        <v>418438803469.6463</v>
      </c>
      <c r="V54" s="158"/>
      <c r="W54" s="106">
        <v>396897050815.99756</v>
      </c>
      <c r="X54" s="158"/>
      <c r="Y54" s="106">
        <v>381791447196.92395</v>
      </c>
      <c r="Z54" s="158"/>
      <c r="AA54" s="106">
        <v>367796451895.89758</v>
      </c>
      <c r="AC54" s="106">
        <v>340432577326.12988</v>
      </c>
      <c r="AD54" s="158"/>
      <c r="AE54" s="106">
        <v>318835248377.87158</v>
      </c>
      <c r="AF54" s="158"/>
      <c r="AG54" s="106">
        <v>311063058724.00854</v>
      </c>
      <c r="AH54" s="158"/>
      <c r="AI54" s="106">
        <v>300551500043.19818</v>
      </c>
      <c r="AJ54" s="158"/>
      <c r="AL54" s="106">
        <v>287020834826.20892</v>
      </c>
      <c r="AM54" s="158"/>
      <c r="AN54" s="106">
        <v>274605504841.07959</v>
      </c>
      <c r="AO54" s="158"/>
      <c r="AP54" s="106">
        <v>283822609779.99243</v>
      </c>
      <c r="AQ54" s="158"/>
      <c r="AR54" s="106">
        <v>308786915003.38196</v>
      </c>
      <c r="AS54" s="158"/>
    </row>
    <row r="55" spans="1:45" ht="12" x14ac:dyDescent="0.2">
      <c r="A55" s="11" t="s">
        <v>290</v>
      </c>
      <c r="B55" s="51"/>
      <c r="C55" s="243" t="s">
        <v>229</v>
      </c>
      <c r="D55" s="243"/>
      <c r="E55" s="197">
        <v>314017300440.21289</v>
      </c>
      <c r="F55" s="197">
        <v>251340223786.76285</v>
      </c>
      <c r="G55" s="199">
        <f t="shared" si="57"/>
        <v>0.24937145240479008</v>
      </c>
      <c r="H55" s="197">
        <v>287708594693.79108</v>
      </c>
      <c r="I55" s="199">
        <f t="shared" si="58"/>
        <v>9.1442196137457188E-2</v>
      </c>
      <c r="K55" s="197">
        <v>268421360811.32574</v>
      </c>
      <c r="L55" s="199">
        <f t="shared" si="56"/>
        <v>0.16986703104056122</v>
      </c>
      <c r="N55" s="197">
        <v>314017300440.21289</v>
      </c>
      <c r="O55" s="108"/>
      <c r="P55" s="197">
        <v>287708594693.79108</v>
      </c>
      <c r="Q55" s="108"/>
      <c r="R55" s="197">
        <v>272410859603.08359</v>
      </c>
      <c r="S55" s="108"/>
      <c r="U55" s="197">
        <v>268421360811.32574</v>
      </c>
      <c r="V55" s="108"/>
      <c r="W55" s="197">
        <v>251340223786.76285</v>
      </c>
      <c r="X55" s="108"/>
      <c r="Y55" s="197">
        <v>237297664811.8096</v>
      </c>
      <c r="Z55" s="108"/>
      <c r="AA55" s="197">
        <v>227466759812.99091</v>
      </c>
      <c r="AC55" s="197">
        <v>207289398680.84775</v>
      </c>
      <c r="AD55" s="108"/>
      <c r="AE55" s="197">
        <v>191744147615.88159</v>
      </c>
      <c r="AF55" s="108"/>
      <c r="AG55" s="197">
        <v>190311566990.34894</v>
      </c>
      <c r="AH55" s="108"/>
      <c r="AI55" s="197">
        <v>181262294876.76416</v>
      </c>
      <c r="AJ55" s="108"/>
      <c r="AL55" s="197">
        <v>170868721291.02899</v>
      </c>
      <c r="AM55" s="108"/>
      <c r="AN55" s="197">
        <v>167227645580.70871</v>
      </c>
      <c r="AO55" s="108"/>
      <c r="AP55" s="197">
        <v>175595893631.8046</v>
      </c>
      <c r="AQ55" s="108"/>
      <c r="AR55" s="197">
        <v>191381163985.18939</v>
      </c>
      <c r="AS55" s="108"/>
    </row>
    <row r="56" spans="1:45" ht="12" x14ac:dyDescent="0.2">
      <c r="A56" s="11" t="s">
        <v>226</v>
      </c>
      <c r="B56" s="51"/>
      <c r="C56" s="244" t="s">
        <v>306</v>
      </c>
      <c r="D56" s="243"/>
      <c r="E56" s="288">
        <v>166924860879.17307</v>
      </c>
      <c r="F56" s="288">
        <v>145556827029.23471</v>
      </c>
      <c r="G56" s="192">
        <f t="shared" ref="G56:G61" si="59">IF(ISERROR($E56*F56),"NM",IF($E56*F56&gt;0,IF(E56/F56&gt;2,"NM",E56/F56-1),"NM"))</f>
        <v>0.14680200363014673</v>
      </c>
      <c r="H56" s="288">
        <v>157813138544.84973</v>
      </c>
      <c r="I56" s="192">
        <f t="shared" ref="I56:I61" si="60">IF(ISERROR($E56*H56),"NM",IF($E56*H56&gt;0,IF(E56/H56&gt;2,"NM",E56/H56-1),"NM"))</f>
        <v>5.7737412856368797E-2</v>
      </c>
      <c r="K56" s="288">
        <v>150017442658.32059</v>
      </c>
      <c r="L56" s="192">
        <f t="shared" si="56"/>
        <v>0.11270301587103293</v>
      </c>
      <c r="N56" s="288">
        <v>166924860879.17307</v>
      </c>
      <c r="O56" s="158"/>
      <c r="P56" s="288">
        <v>157813138544.84973</v>
      </c>
      <c r="Q56" s="158"/>
      <c r="R56" s="288">
        <v>172671021387.82788</v>
      </c>
      <c r="S56" s="158"/>
      <c r="U56" s="288">
        <v>150017442658.32059</v>
      </c>
      <c r="V56" s="158"/>
      <c r="W56" s="288">
        <v>145556827029.23471</v>
      </c>
      <c r="X56" s="158"/>
      <c r="Y56" s="288">
        <v>144493782385.11438</v>
      </c>
      <c r="Z56" s="158"/>
      <c r="AA56" s="288">
        <v>140329692082.90668</v>
      </c>
      <c r="AC56" s="288">
        <v>133143178645.28214</v>
      </c>
      <c r="AD56" s="158"/>
      <c r="AE56" s="288">
        <v>127091100761.99002</v>
      </c>
      <c r="AF56" s="158"/>
      <c r="AG56" s="288">
        <v>120751491733.65959</v>
      </c>
      <c r="AH56" s="158"/>
      <c r="AI56" s="288">
        <v>119289205166.43405</v>
      </c>
      <c r="AJ56" s="158"/>
      <c r="AL56" s="288">
        <f>AL54-AL55</f>
        <v>116152113535.17993</v>
      </c>
      <c r="AM56" s="108"/>
      <c r="AN56" s="288">
        <f t="shared" ref="AN56:AR56" si="61">AN54-AN55</f>
        <v>107377859260.37088</v>
      </c>
      <c r="AO56" s="108"/>
      <c r="AP56" s="288">
        <f t="shared" si="61"/>
        <v>108226716148.18784</v>
      </c>
      <c r="AQ56" s="108"/>
      <c r="AR56" s="288">
        <f t="shared" si="61"/>
        <v>117405751018.19257</v>
      </c>
      <c r="AS56" s="158"/>
    </row>
    <row r="57" spans="1:45" ht="15" customHeight="1" x14ac:dyDescent="0.25">
      <c r="A57" s="50" t="s">
        <v>291</v>
      </c>
      <c r="B57" s="51"/>
      <c r="C57" s="90" t="s">
        <v>230</v>
      </c>
      <c r="D57" s="180"/>
      <c r="E57" s="187">
        <v>65979748001.660088</v>
      </c>
      <c r="F57" s="187">
        <v>70635654367.930023</v>
      </c>
      <c r="G57" s="188">
        <f t="shared" ref="G57:G59" si="62">IF(ISERROR($E57*F57),"NM",IF($E57*F57&gt;0,IF(E57/F57&gt;2,"NM",E57/F57-1),"NM"))</f>
        <v>-6.5914394195572212E-2</v>
      </c>
      <c r="H57" s="187">
        <v>66500145151.570023</v>
      </c>
      <c r="I57" s="188">
        <f t="shared" ref="I57:I59" si="63">IF(ISERROR($E57*H57),"NM",IF($E57*H57&gt;0,IF(E57/H57&gt;2,"NM",E57/H57-1),"NM"))</f>
        <v>-7.8255039703120088E-3</v>
      </c>
      <c r="K57" s="187">
        <v>70345178943.910004</v>
      </c>
      <c r="L57" s="188">
        <f t="shared" si="56"/>
        <v>-6.205728676489275E-2</v>
      </c>
      <c r="N57" s="106">
        <v>65979748001.660088</v>
      </c>
      <c r="O57" s="158"/>
      <c r="P57" s="106">
        <v>66500145151.570023</v>
      </c>
      <c r="Q57" s="158"/>
      <c r="R57" s="106">
        <v>68629966046.830002</v>
      </c>
      <c r="S57" s="158"/>
      <c r="U57" s="106">
        <v>70345178943.910004</v>
      </c>
      <c r="V57" s="158"/>
      <c r="W57" s="106">
        <v>70635654367.930023</v>
      </c>
      <c r="X57" s="158"/>
      <c r="Y57" s="106">
        <v>70887256847.089996</v>
      </c>
      <c r="Z57" s="158"/>
      <c r="AA57" s="106">
        <v>65667206878.80999</v>
      </c>
      <c r="AC57" s="106">
        <v>67985269931.61998</v>
      </c>
      <c r="AD57" s="158"/>
      <c r="AE57" s="106">
        <v>88904380074.189911</v>
      </c>
      <c r="AF57" s="158"/>
      <c r="AG57" s="106">
        <v>91037131192.920029</v>
      </c>
      <c r="AH57" s="158"/>
      <c r="AI57" s="106">
        <v>92003701697.140015</v>
      </c>
      <c r="AJ57" s="158"/>
      <c r="AL57" s="106">
        <v>93680030084.37001</v>
      </c>
      <c r="AM57" s="158"/>
      <c r="AN57" s="106">
        <v>97986002823.189865</v>
      </c>
      <c r="AO57" s="158"/>
      <c r="AP57" s="106">
        <v>96847625960.982651</v>
      </c>
      <c r="AQ57" s="158"/>
      <c r="AR57" s="106">
        <v>93164076985.70993</v>
      </c>
      <c r="AS57" s="158"/>
    </row>
    <row r="58" spans="1:45" x14ac:dyDescent="0.2">
      <c r="A58" s="11" t="s">
        <v>279</v>
      </c>
      <c r="B58" s="51"/>
      <c r="C58" s="243" t="s">
        <v>137</v>
      </c>
      <c r="D58" s="243"/>
      <c r="E58" s="165">
        <v>62490708206.130051</v>
      </c>
      <c r="F58" s="165">
        <v>66504928493.88002</v>
      </c>
      <c r="G58" s="177">
        <f t="shared" si="62"/>
        <v>-6.0359741430582425E-2</v>
      </c>
      <c r="H58" s="197">
        <v>62984300917.360046</v>
      </c>
      <c r="I58" s="177">
        <f t="shared" si="63"/>
        <v>-7.8367577958454726E-3</v>
      </c>
      <c r="K58" s="197">
        <v>66300342746.970001</v>
      </c>
      <c r="L58" s="177">
        <f t="shared" si="56"/>
        <v>-5.7460254095203056E-2</v>
      </c>
      <c r="M58" s="165"/>
      <c r="N58" s="197">
        <v>62490708206.130051</v>
      </c>
      <c r="O58" s="157"/>
      <c r="P58" s="197">
        <v>62984300917.360046</v>
      </c>
      <c r="Q58" s="157"/>
      <c r="R58" s="197">
        <v>64718147147.51001</v>
      </c>
      <c r="S58" s="157"/>
      <c r="U58" s="197">
        <v>66300342746.970001</v>
      </c>
      <c r="V58" s="157"/>
      <c r="W58" s="197">
        <v>66504928493.88002</v>
      </c>
      <c r="X58" s="157"/>
      <c r="Y58" s="197">
        <v>66577503810.109985</v>
      </c>
      <c r="Z58" s="157"/>
      <c r="AA58" s="197">
        <v>61179547356.049995</v>
      </c>
      <c r="AC58" s="197">
        <v>62923767116.439972</v>
      </c>
      <c r="AD58" s="158"/>
      <c r="AE58" s="197">
        <v>63482532388.650047</v>
      </c>
      <c r="AF58" s="158"/>
      <c r="AG58" s="197">
        <v>65751905135.009979</v>
      </c>
      <c r="AH58" s="158"/>
      <c r="AI58" s="197">
        <v>65992310685.550034</v>
      </c>
      <c r="AJ58" s="158"/>
      <c r="AL58" s="197">
        <v>66566963632.149971</v>
      </c>
      <c r="AM58" s="158"/>
      <c r="AN58" s="197">
        <v>66279819621.249954</v>
      </c>
      <c r="AO58" s="158"/>
      <c r="AP58" s="197">
        <v>66041846037.652718</v>
      </c>
      <c r="AQ58" s="158"/>
      <c r="AR58" s="197">
        <v>66234066637.529991</v>
      </c>
      <c r="AS58" s="158"/>
    </row>
    <row r="59" spans="1:45" ht="12" x14ac:dyDescent="0.2">
      <c r="A59" s="11" t="s">
        <v>280</v>
      </c>
      <c r="B59" s="51"/>
      <c r="C59" s="243" t="s">
        <v>138</v>
      </c>
      <c r="D59" s="243"/>
      <c r="E59" s="165">
        <v>3489039795.5300007</v>
      </c>
      <c r="F59" s="165">
        <v>4130725874.0499997</v>
      </c>
      <c r="G59" s="177">
        <f t="shared" si="62"/>
        <v>-0.15534462902784041</v>
      </c>
      <c r="H59" s="197">
        <v>3515844234.21</v>
      </c>
      <c r="I59" s="177">
        <f t="shared" si="63"/>
        <v>-7.6238982430409941E-3</v>
      </c>
      <c r="K59" s="197">
        <v>4044836196.9400015</v>
      </c>
      <c r="L59" s="177">
        <f t="shared" si="56"/>
        <v>-0.13740887747950625</v>
      </c>
      <c r="N59" s="197">
        <v>3489039795.5300007</v>
      </c>
      <c r="O59" s="108"/>
      <c r="P59" s="197">
        <v>3515844234.21</v>
      </c>
      <c r="Q59" s="108"/>
      <c r="R59" s="197">
        <v>3911818899.3200006</v>
      </c>
      <c r="S59" s="108"/>
      <c r="U59" s="197">
        <v>4044836196.9400015</v>
      </c>
      <c r="V59" s="108"/>
      <c r="W59" s="197">
        <v>4130725874.0499997</v>
      </c>
      <c r="X59" s="108"/>
      <c r="Y59" s="197">
        <v>4309753036.9800005</v>
      </c>
      <c r="Z59" s="108"/>
      <c r="AA59" s="197">
        <v>4487659522.7600031</v>
      </c>
      <c r="AC59" s="197">
        <v>5061502815.1800003</v>
      </c>
      <c r="AD59" s="158"/>
      <c r="AE59" s="197">
        <v>25421847685.540005</v>
      </c>
      <c r="AF59" s="158"/>
      <c r="AG59" s="197">
        <v>25285226057.909981</v>
      </c>
      <c r="AH59" s="158"/>
      <c r="AI59" s="197">
        <v>26011391011.589996</v>
      </c>
      <c r="AJ59" s="158"/>
      <c r="AL59" s="197">
        <v>27113066452.219997</v>
      </c>
      <c r="AM59" s="158"/>
      <c r="AN59" s="197">
        <v>31706183201.940002</v>
      </c>
      <c r="AO59" s="158"/>
      <c r="AP59" s="197">
        <v>30805779923.330025</v>
      </c>
      <c r="AQ59" s="158"/>
      <c r="AR59" s="197">
        <v>26930010348.18</v>
      </c>
      <c r="AS59" s="158"/>
    </row>
    <row r="60" spans="1:45" ht="15" customHeight="1" x14ac:dyDescent="0.25">
      <c r="A60" s="50" t="s">
        <v>282</v>
      </c>
      <c r="B60" s="51"/>
      <c r="C60" s="96" t="s">
        <v>241</v>
      </c>
      <c r="D60" s="180"/>
      <c r="E60" s="185">
        <v>1720617741948.7727</v>
      </c>
      <c r="F60" s="185">
        <v>1646768431816.884</v>
      </c>
      <c r="G60" s="192">
        <f t="shared" si="59"/>
        <v>4.4844987737839181E-2</v>
      </c>
      <c r="H60" s="185">
        <v>1671139088775.3384</v>
      </c>
      <c r="I60" s="192">
        <f t="shared" si="60"/>
        <v>2.9607740915026826E-2</v>
      </c>
      <c r="K60" s="185">
        <v>1680131596118.9773</v>
      </c>
      <c r="L60" s="192">
        <f t="shared" si="56"/>
        <v>2.4097008783904972E-2</v>
      </c>
      <c r="N60" s="103">
        <v>1720617741948.7727</v>
      </c>
      <c r="O60" s="158"/>
      <c r="P60" s="103">
        <v>1671139088775.3384</v>
      </c>
      <c r="Q60" s="158"/>
      <c r="R60" s="103">
        <v>1704891298762.9094</v>
      </c>
      <c r="S60" s="158"/>
      <c r="U60" s="103">
        <v>1680131596118.9773</v>
      </c>
      <c r="V60" s="158"/>
      <c r="W60" s="103">
        <v>1646768431816.884</v>
      </c>
      <c r="X60" s="158"/>
      <c r="Y60" s="103">
        <v>1616023143799.1211</v>
      </c>
      <c r="Z60" s="158"/>
      <c r="AA60" s="103">
        <v>1590885115848.9893</v>
      </c>
      <c r="AC60" s="103">
        <v>1509579501042.9128</v>
      </c>
      <c r="AD60" s="158"/>
      <c r="AE60" s="103">
        <v>1465237473826.498</v>
      </c>
      <c r="AF60" s="158"/>
      <c r="AG60" s="103">
        <v>1471315921986.4961</v>
      </c>
      <c r="AH60" s="158"/>
      <c r="AI60" s="103">
        <v>1453062321087.9192</v>
      </c>
      <c r="AJ60" s="158"/>
      <c r="AL60" s="103">
        <v>1423035841903.688</v>
      </c>
      <c r="AM60" s="158"/>
      <c r="AN60" s="103">
        <v>1411031509357.2563</v>
      </c>
      <c r="AO60" s="158"/>
      <c r="AP60" s="103">
        <v>1443517196794.4668</v>
      </c>
      <c r="AQ60" s="158"/>
      <c r="AR60" s="103">
        <v>1550766824322.0237</v>
      </c>
      <c r="AS60" s="158"/>
    </row>
    <row r="61" spans="1:45" ht="15" customHeight="1" x14ac:dyDescent="0.25">
      <c r="A61" s="50" t="s">
        <v>283</v>
      </c>
      <c r="B61" s="51"/>
      <c r="C61" s="96" t="s">
        <v>140</v>
      </c>
      <c r="D61" s="180"/>
      <c r="E61" s="185">
        <v>182750807563.39999</v>
      </c>
      <c r="F61" s="185">
        <v>185261465479.37</v>
      </c>
      <c r="G61" s="192">
        <f t="shared" si="59"/>
        <v>-1.3551970505434552E-2</v>
      </c>
      <c r="H61" s="185">
        <v>179700776143.87003</v>
      </c>
      <c r="I61" s="192">
        <f t="shared" si="60"/>
        <v>1.6972833868497572E-2</v>
      </c>
      <c r="K61" s="185">
        <v>188068188727.23004</v>
      </c>
      <c r="L61" s="192">
        <f t="shared" si="56"/>
        <v>-2.8273687324879115E-2</v>
      </c>
      <c r="N61" s="103">
        <v>182750807563.39999</v>
      </c>
      <c r="O61" s="158"/>
      <c r="P61" s="103">
        <v>179700776143.87003</v>
      </c>
      <c r="Q61" s="158"/>
      <c r="R61" s="103">
        <v>180387683773.45007</v>
      </c>
      <c r="S61" s="158"/>
      <c r="U61" s="103">
        <v>188068188727.23004</v>
      </c>
      <c r="V61" s="158"/>
      <c r="W61" s="103">
        <v>185261465479.37</v>
      </c>
      <c r="X61" s="158"/>
      <c r="Y61" s="103">
        <v>183601233252.18002</v>
      </c>
      <c r="Z61" s="158"/>
      <c r="AA61" s="103">
        <v>192837553696.13</v>
      </c>
      <c r="AC61" s="103">
        <v>211191644135.60001</v>
      </c>
      <c r="AD61" s="158"/>
      <c r="AE61" s="103">
        <v>198111746032.96997</v>
      </c>
      <c r="AF61" s="158"/>
      <c r="AG61" s="103">
        <v>192476727262.19</v>
      </c>
      <c r="AH61" s="158"/>
      <c r="AI61" s="103">
        <v>188519030714.36005</v>
      </c>
      <c r="AJ61" s="158"/>
      <c r="AL61" s="103">
        <v>185435477118.46997</v>
      </c>
      <c r="AM61" s="158"/>
      <c r="AN61" s="103">
        <v>164740480123.72992</v>
      </c>
      <c r="AO61" s="158"/>
      <c r="AP61" s="103">
        <v>172841069594.43985</v>
      </c>
      <c r="AQ61" s="158"/>
      <c r="AR61" s="103">
        <v>174174104918.28</v>
      </c>
      <c r="AS61" s="158"/>
    </row>
    <row r="62" spans="1:45" ht="15" customHeight="1" x14ac:dyDescent="0.25">
      <c r="A62" s="50" t="s">
        <v>284</v>
      </c>
      <c r="B62" s="51"/>
      <c r="C62" s="90" t="s">
        <v>242</v>
      </c>
      <c r="D62" s="180"/>
      <c r="E62" s="187">
        <v>1903368549512.1721</v>
      </c>
      <c r="F62" s="187">
        <v>1832029897296.2542</v>
      </c>
      <c r="G62" s="188">
        <f t="shared" si="57"/>
        <v>3.8939676869466533E-2</v>
      </c>
      <c r="H62" s="187">
        <v>1850839864919.209</v>
      </c>
      <c r="I62" s="188">
        <f t="shared" si="58"/>
        <v>2.8380999128336803E-2</v>
      </c>
      <c r="K62" s="187">
        <v>1868199784846.207</v>
      </c>
      <c r="L62" s="188">
        <f t="shared" si="56"/>
        <v>1.8824948461740876E-2</v>
      </c>
      <c r="N62" s="106">
        <v>1903368549512.1721</v>
      </c>
      <c r="O62" s="158"/>
      <c r="P62" s="106">
        <v>1850839864919.209</v>
      </c>
      <c r="Q62" s="158"/>
      <c r="R62" s="106">
        <v>1885278982536.3594</v>
      </c>
      <c r="S62" s="158"/>
      <c r="U62" s="106">
        <v>1868199784846.207</v>
      </c>
      <c r="V62" s="158"/>
      <c r="W62" s="106">
        <v>1832029897296.2542</v>
      </c>
      <c r="X62" s="158"/>
      <c r="Y62" s="106">
        <v>1799624377051.3018</v>
      </c>
      <c r="Z62" s="158"/>
      <c r="AA62" s="106">
        <v>1783722669545.1191</v>
      </c>
      <c r="AC62" s="106">
        <v>1720771145178.5132</v>
      </c>
      <c r="AD62" s="158"/>
      <c r="AE62" s="106">
        <v>1663349219859.4678</v>
      </c>
      <c r="AF62" s="158"/>
      <c r="AG62" s="106">
        <v>1663792649248.6863</v>
      </c>
      <c r="AH62" s="158"/>
      <c r="AI62" s="106">
        <v>1641581351802.2793</v>
      </c>
      <c r="AJ62" s="158"/>
      <c r="AL62" s="106">
        <v>1608471319022.1594</v>
      </c>
      <c r="AM62" s="158"/>
      <c r="AN62" s="106">
        <v>1575771989480.9858</v>
      </c>
      <c r="AO62" s="158"/>
      <c r="AP62" s="106">
        <v>1616358266388.9072</v>
      </c>
      <c r="AQ62" s="158"/>
      <c r="AR62" s="106">
        <v>1724940929240.304</v>
      </c>
      <c r="AS62" s="158"/>
    </row>
    <row r="63" spans="1:45" ht="15" customHeight="1" x14ac:dyDescent="0.25">
      <c r="A63" s="50" t="s">
        <v>143</v>
      </c>
      <c r="B63" s="51"/>
      <c r="C63" s="90" t="s">
        <v>124</v>
      </c>
      <c r="D63" s="180"/>
      <c r="E63" s="187">
        <v>354217669453.65009</v>
      </c>
      <c r="F63" s="187">
        <v>359515336124.71002</v>
      </c>
      <c r="G63" s="188">
        <f t="shared" si="57"/>
        <v>-1.4735579094245499E-2</v>
      </c>
      <c r="H63" s="187">
        <v>358647282110.56989</v>
      </c>
      <c r="I63" s="188">
        <f t="shared" si="58"/>
        <v>-1.2350888680523031E-2</v>
      </c>
      <c r="K63" s="187">
        <v>371866583611.28998</v>
      </c>
      <c r="L63" s="188">
        <f t="shared" si="56"/>
        <v>-4.7460339098627347E-2</v>
      </c>
      <c r="N63" s="106">
        <v>354217669453.65009</v>
      </c>
      <c r="O63" s="158"/>
      <c r="P63" s="106">
        <v>358647282110.56989</v>
      </c>
      <c r="Q63" s="158"/>
      <c r="R63" s="106">
        <v>361907983965.75989</v>
      </c>
      <c r="S63" s="158"/>
      <c r="U63" s="106">
        <v>371866583611.28998</v>
      </c>
      <c r="V63" s="158"/>
      <c r="W63" s="106">
        <v>359515336124.71002</v>
      </c>
      <c r="X63" s="158"/>
      <c r="Y63" s="106">
        <v>356473313722.65002</v>
      </c>
      <c r="Z63" s="158"/>
      <c r="AA63" s="106">
        <v>332422357804.55005</v>
      </c>
      <c r="AC63" s="106">
        <v>315816888391.16998</v>
      </c>
      <c r="AD63" s="158"/>
      <c r="AE63" s="106">
        <v>309955173475.96002</v>
      </c>
      <c r="AF63" s="158"/>
      <c r="AG63" s="106">
        <v>297524252204.77997</v>
      </c>
      <c r="AH63" s="158"/>
      <c r="AI63" s="106">
        <v>292280230427.79004</v>
      </c>
      <c r="AJ63" s="158"/>
      <c r="AL63" s="106">
        <v>295523324263.78986</v>
      </c>
      <c r="AM63" s="158"/>
      <c r="AN63" s="106">
        <v>319492469047.81995</v>
      </c>
      <c r="AO63" s="158"/>
      <c r="AP63" s="106">
        <v>308172341613.13995</v>
      </c>
      <c r="AQ63" s="158"/>
      <c r="AR63" s="106">
        <v>295519979637.00006</v>
      </c>
      <c r="AS63" s="158"/>
    </row>
    <row r="64" spans="1:45" ht="15" customHeight="1" x14ac:dyDescent="0.25">
      <c r="A64" s="331" t="s">
        <v>292</v>
      </c>
      <c r="B64" s="51"/>
      <c r="C64" s="90" t="s">
        <v>296</v>
      </c>
      <c r="D64" s="180"/>
      <c r="E64" s="166">
        <v>59841953482.980087</v>
      </c>
      <c r="F64" s="166">
        <v>0</v>
      </c>
      <c r="G64" s="190" t="str">
        <f t="shared" si="57"/>
        <v>NM</v>
      </c>
      <c r="H64" s="166">
        <v>57651667751.002541</v>
      </c>
      <c r="I64" s="190">
        <f t="shared" si="58"/>
        <v>3.7991715026135742E-2</v>
      </c>
      <c r="K64" s="189" t="s">
        <v>331</v>
      </c>
      <c r="L64" s="190" t="str">
        <f t="shared" si="56"/>
        <v>NM</v>
      </c>
      <c r="N64" s="166">
        <v>59841953482.980087</v>
      </c>
      <c r="O64" s="298"/>
      <c r="P64" s="166">
        <v>57651667751.002541</v>
      </c>
      <c r="Q64" s="298"/>
      <c r="R64" s="166">
        <v>0</v>
      </c>
      <c r="S64" s="298"/>
      <c r="U64" s="166">
        <v>0</v>
      </c>
      <c r="V64" s="298"/>
      <c r="W64" s="166">
        <v>0</v>
      </c>
      <c r="X64" s="298"/>
      <c r="Y64" s="166">
        <v>0</v>
      </c>
      <c r="Z64" s="298"/>
      <c r="AA64" s="166">
        <v>0</v>
      </c>
      <c r="AC64" s="166">
        <v>0</v>
      </c>
      <c r="AD64" s="298"/>
      <c r="AE64" s="166">
        <v>0</v>
      </c>
      <c r="AF64" s="298"/>
      <c r="AG64" s="166">
        <v>0</v>
      </c>
      <c r="AH64" s="298"/>
      <c r="AI64" s="166">
        <v>0</v>
      </c>
      <c r="AJ64" s="298"/>
      <c r="AL64" s="166">
        <v>0</v>
      </c>
      <c r="AM64" s="298"/>
      <c r="AN64" s="166">
        <v>0</v>
      </c>
      <c r="AO64" s="298"/>
      <c r="AP64" s="166">
        <v>0</v>
      </c>
      <c r="AQ64" s="298"/>
      <c r="AR64" s="166">
        <v>0</v>
      </c>
      <c r="AS64" s="298"/>
    </row>
    <row r="65" spans="1:45" ht="18" customHeight="1" x14ac:dyDescent="0.2">
      <c r="A65" s="50" t="s">
        <v>130</v>
      </c>
      <c r="B65" s="51"/>
      <c r="C65" s="251" t="s">
        <v>130</v>
      </c>
      <c r="D65" s="245"/>
      <c r="E65" s="191">
        <v>2317428172448.8022</v>
      </c>
      <c r="F65" s="191">
        <v>2191545233420.9641</v>
      </c>
      <c r="G65" s="198">
        <f t="shared" si="57"/>
        <v>5.7440265027675075E-2</v>
      </c>
      <c r="H65" s="191">
        <v>2267138814780.7813</v>
      </c>
      <c r="I65" s="198">
        <f t="shared" si="58"/>
        <v>2.2181860828351496E-2</v>
      </c>
      <c r="K65" s="191">
        <v>2240066368457.4971</v>
      </c>
      <c r="L65" s="198">
        <f t="shared" si="56"/>
        <v>3.4535496394500154E-2</v>
      </c>
      <c r="N65" s="191">
        <v>2317428172448.8022</v>
      </c>
      <c r="O65" s="255"/>
      <c r="P65" s="191">
        <v>2267138814780.7813</v>
      </c>
      <c r="Q65" s="255"/>
      <c r="R65" s="191">
        <v>2247186966502.1191</v>
      </c>
      <c r="S65" s="255"/>
      <c r="U65" s="191">
        <v>2240066368457.4971</v>
      </c>
      <c r="V65" s="255"/>
      <c r="W65" s="191">
        <v>2191545233420.9641</v>
      </c>
      <c r="X65" s="255"/>
      <c r="Y65" s="191">
        <v>2156097690773.9517</v>
      </c>
      <c r="Z65" s="255"/>
      <c r="AA65" s="191">
        <v>2116145027349.6692</v>
      </c>
      <c r="AC65" s="191">
        <v>2036588033569.6831</v>
      </c>
      <c r="AD65" s="255"/>
      <c r="AE65" s="191">
        <v>1973304393335.4277</v>
      </c>
      <c r="AF65" s="255"/>
      <c r="AG65" s="191">
        <v>1961316901453.4663</v>
      </c>
      <c r="AH65" s="255"/>
      <c r="AI65" s="191">
        <v>1933861582230.0693</v>
      </c>
      <c r="AJ65" s="255"/>
      <c r="AL65" s="191">
        <v>1903994643285.9492</v>
      </c>
      <c r="AM65" s="255"/>
      <c r="AN65" s="191">
        <v>1895264458528.8057</v>
      </c>
      <c r="AO65" s="255"/>
      <c r="AP65" s="191">
        <v>1924530608002.0471</v>
      </c>
      <c r="AQ65" s="255"/>
      <c r="AR65" s="191">
        <v>2020460908877.304</v>
      </c>
      <c r="AS65" s="255"/>
    </row>
    <row r="66" spans="1:45" ht="15" customHeight="1" x14ac:dyDescent="0.2">
      <c r="A66" s="50" t="s">
        <v>144</v>
      </c>
      <c r="B66" s="51"/>
      <c r="C66" s="237" t="s">
        <v>141</v>
      </c>
      <c r="D66" s="238"/>
      <c r="E66" s="258">
        <v>2098115521320.6582</v>
      </c>
      <c r="F66" s="258">
        <v>1972562958924.2537</v>
      </c>
      <c r="G66" s="261">
        <f t="shared" si="57"/>
        <v>6.3649457589366465E-2</v>
      </c>
      <c r="H66" s="258">
        <v>2050728012163.6155</v>
      </c>
      <c r="I66" s="261">
        <f t="shared" si="58"/>
        <v>2.3107651953828245E-2</v>
      </c>
      <c r="K66" s="258">
        <v>2018497940384.2974</v>
      </c>
      <c r="L66" s="261">
        <f t="shared" si="56"/>
        <v>3.9443974325385156E-2</v>
      </c>
      <c r="M66" s="1"/>
      <c r="N66" s="258">
        <v>2098115521320.6582</v>
      </c>
      <c r="O66" s="259"/>
      <c r="P66" s="258">
        <v>2050728012163.6155</v>
      </c>
      <c r="Q66" s="259"/>
      <c r="R66" s="258">
        <v>2034130746790.0405</v>
      </c>
      <c r="S66" s="259"/>
      <c r="T66" s="1"/>
      <c r="U66" s="258">
        <v>2018497940384.2974</v>
      </c>
      <c r="V66" s="259"/>
      <c r="W66" s="258">
        <v>1972562958924.2537</v>
      </c>
      <c r="X66" s="259"/>
      <c r="Y66" s="258">
        <v>1937658057005.0933</v>
      </c>
      <c r="Z66" s="259"/>
      <c r="AA66" s="258">
        <v>1891665804564.3884</v>
      </c>
      <c r="AB66" s="1"/>
      <c r="AC66" s="239">
        <v>1794111860643.1135</v>
      </c>
      <c r="AD66" s="240"/>
      <c r="AE66" s="239">
        <v>1744750109891.6975</v>
      </c>
      <c r="AF66" s="240"/>
      <c r="AG66" s="239">
        <v>1738081600695.6965</v>
      </c>
      <c r="AH66" s="240"/>
      <c r="AI66" s="239">
        <v>1716267505226.1885</v>
      </c>
      <c r="AJ66" s="240"/>
      <c r="AK66" s="1"/>
      <c r="AL66" s="239">
        <v>1687978815022.9092</v>
      </c>
      <c r="AM66" s="240"/>
      <c r="AN66" s="239">
        <v>1696677294536.3848</v>
      </c>
      <c r="AO66" s="240"/>
      <c r="AP66" s="239">
        <v>1714922198139.8867</v>
      </c>
      <c r="AQ66" s="240"/>
      <c r="AR66" s="239">
        <v>1811889058893.5115</v>
      </c>
      <c r="AS66" s="240"/>
    </row>
    <row r="67" spans="1:45" ht="15" customHeight="1" x14ac:dyDescent="0.2">
      <c r="A67" s="50" t="s">
        <v>145</v>
      </c>
      <c r="B67" s="51"/>
      <c r="C67" s="237" t="s">
        <v>142</v>
      </c>
      <c r="D67" s="238"/>
      <c r="E67" s="258">
        <v>219312651128.14392</v>
      </c>
      <c r="F67" s="258">
        <v>218982274496.70999</v>
      </c>
      <c r="G67" s="261">
        <f t="shared" si="57"/>
        <v>1.5086912043142942E-3</v>
      </c>
      <c r="H67" s="258">
        <v>216410802617.16531</v>
      </c>
      <c r="I67" s="261">
        <f t="shared" si="58"/>
        <v>1.3408981787808472E-2</v>
      </c>
      <c r="K67" s="258">
        <v>221568428073.20013</v>
      </c>
      <c r="L67" s="261">
        <f t="shared" si="56"/>
        <v>-1.0180949355794389E-2</v>
      </c>
      <c r="M67" s="1"/>
      <c r="N67" s="258">
        <v>219312651128.14392</v>
      </c>
      <c r="O67" s="260"/>
      <c r="P67" s="258">
        <v>216410802617.16531</v>
      </c>
      <c r="Q67" s="260"/>
      <c r="R67" s="258">
        <v>213056219712.08023</v>
      </c>
      <c r="S67" s="260"/>
      <c r="T67" s="1"/>
      <c r="U67" s="258">
        <v>221568428073.20013</v>
      </c>
      <c r="V67" s="260"/>
      <c r="W67" s="258">
        <v>218982274496.70999</v>
      </c>
      <c r="X67" s="260"/>
      <c r="Y67" s="258">
        <v>218439633768.86008</v>
      </c>
      <c r="Z67" s="260"/>
      <c r="AA67" s="258">
        <v>224479222785.28</v>
      </c>
      <c r="AB67" s="1"/>
      <c r="AC67" s="239">
        <v>242476172926.57013</v>
      </c>
      <c r="AD67" s="241"/>
      <c r="AE67" s="239">
        <v>228554283443.72995</v>
      </c>
      <c r="AF67" s="241"/>
      <c r="AG67" s="239">
        <v>223235300757.77008</v>
      </c>
      <c r="AH67" s="241"/>
      <c r="AI67" s="239">
        <v>217594077003.8801</v>
      </c>
      <c r="AJ67" s="241"/>
      <c r="AK67" s="1"/>
      <c r="AL67" s="239">
        <v>216015828263.03973</v>
      </c>
      <c r="AM67" s="241"/>
      <c r="AN67" s="239">
        <v>198587163992.41995</v>
      </c>
      <c r="AO67" s="241"/>
      <c r="AP67" s="239">
        <v>209608409862.1597</v>
      </c>
      <c r="AQ67" s="241"/>
      <c r="AR67" s="239">
        <v>208571849983.78998</v>
      </c>
      <c r="AS67" s="241"/>
    </row>
    <row r="68" spans="1:45" hidden="1" outlineLevel="1" x14ac:dyDescent="0.2">
      <c r="A68" s="236"/>
      <c r="B68" s="2"/>
      <c r="C68" s="63"/>
      <c r="D68" s="74"/>
      <c r="E68" s="272">
        <f>ROUND(E65-SUM(E49,E53,E54,E57,E61,E63,E64)+E62-(E49+E53+E54+E57+E61)+E65-(E66+E67)+E60-(E49+E53+E54+E57),3)</f>
        <v>-2E-3</v>
      </c>
      <c r="F68" s="272">
        <f>ROUND(F65-SUM(F49,F53,F54,F57,F61,F63,F64)+F62-(F49+F53+F54+F57+F61)+F65-(F66+F67)+F60-(F49+F53+F54+F57),3)</f>
        <v>3.0000000000000001E-3</v>
      </c>
      <c r="H68" s="272">
        <f>ROUND(H65-SUM(H49,H53,H54,H57,H61,H63,H64)+H62-(H49+H53+H54+H57+H61)+H65-(H66+H67)+H60-(H49+H53+H54+H57),3)</f>
        <v>1E-3</v>
      </c>
      <c r="K68" s="272">
        <f>ROUND(K65-SUM(K49,K53,K54,K57,K61,K63)+K62-(K49+K53+K54+K57+K61)+K65-(K66+K67)+K60-(K49+K53+K54+K57),3)</f>
        <v>0</v>
      </c>
      <c r="N68" s="272">
        <f>ROUND(N65-SUM(N49,N53,N54,N57,N61,N63,N64)+N62-(N49+N53+N54+N57+N61)+N65-(N66+N67)+N60-(N49+N53+N54+N57),3)</f>
        <v>-2E-3</v>
      </c>
      <c r="P68" s="272">
        <f>ROUND(P65-SUM(P49,P53,P54,P57,P61,P63,P64)+P62-(P49+P53+P54+P57+P61)+P65-(P66+P67)+P60-(P49+P53+P54+P57),3)</f>
        <v>1E-3</v>
      </c>
      <c r="R68" s="272">
        <f>ROUND(R65-SUM(R49,R53,R54,R57,R61,R63,R64)+R62-(R49+R53+R54+R57+R61)+R65-(R66+R67)+R60-(R49+R53+R54+R57),3)</f>
        <v>-1E-3</v>
      </c>
      <c r="U68" s="272">
        <f>ROUND(U65-SUM(U49,U53,U54,U57,U61,U63,U64)+U62-(U49+U53+U54+U57+U61)+U65-(U66+U67)+U60-(U49+U53+U54+U57),3)</f>
        <v>0</v>
      </c>
      <c r="W68" s="272">
        <f>ROUND(W65-SUM(W49,W53,W54,W57,W61,W63,W64)+W62-(W49+W53+W54+W57+W61)+W65-(W66+W67)+W60-(W49+W53+W54+W57),3)</f>
        <v>3.0000000000000001E-3</v>
      </c>
      <c r="Y68" s="272">
        <f>ROUND(Y65-SUM(Y49,Y53,Y54,Y57,Y61,Y63,Y64)+Y62-(Y49+Y53+Y54+Y57+Y61)+Y65-(Y66+Y67)+Y60-(Y49+Y53+Y54+Y57),3)</f>
        <v>-1E-3</v>
      </c>
      <c r="AA68" s="272">
        <f>ROUND(AA65-SUM(AA49,AA53,AA54,AA57,AA61,AA63,AA64)+AA62-(AA49+AA53+AA54+AA57+AA61)+AA65-(AA66+AA67)+AA60-(AA49+AA53+AA54+AA57),3)</f>
        <v>2E-3</v>
      </c>
      <c r="AC68" s="272">
        <f>ROUND(AC65-SUM(AC49,AC53,AC54,AC57,AC61,AC63,AC64)+AC62-(AC49+AC53+AC54+AC57+AC61)+AC65-(AC66+AC67)+AC60-(AC49+AC53+AC54+AC57),3)</f>
        <v>1E-3</v>
      </c>
      <c r="AE68" s="272">
        <f>ROUND(AE65-SUM(AE49,AE53,AE54,AE57,AE61,AE63,AE64)+AE62-(AE49+AE53+AE54+AE57+AE61)+AE65-(AE66+AE67)+AE60-(AE49+AE53+AE54+AE57),3)</f>
        <v>1E-3</v>
      </c>
      <c r="AG68" s="272">
        <f>ROUND(AG65-SUM(AG49,AG53,AG54,AG57,AG61,AG63,AG64)+AG62-(AG49+AG53+AG54+AG57+AG61)+AG65-(AG66+AG67)+AG60-(AG49+AG53+AG54+AG57),3)</f>
        <v>4.0000000000000001E-3</v>
      </c>
      <c r="AI68" s="272">
        <f>ROUND(AI65-SUM(AI49,AI53,AI54,AI57,AI61,AI63,AI64)+AI62-(AI49+AI53+AI54+AI57+AI61)+AI65-(AI66+AI67)+AI60-(AI49+AI53+AI54+AI57),3)</f>
        <v>1E-3</v>
      </c>
      <c r="AL68" s="272">
        <f>ROUND(AL65-SUM(AL49,AL53,AL54,AL57,AL61,AL63,AL64)+AL62-(AL49+AL53+AL54+AL57+AL61)+AL65-(AL66+AL67)+AL60-(AL49+AL53+AL54+AL57),3)</f>
        <v>-5.0000000000000001E-3</v>
      </c>
      <c r="AN68" s="272">
        <f>ROUND(AN65-SUM(AN49,AN53,AN54,AN57,AN61,AN63,AN64)+AN62-(AN49+AN53+AN54+AN57+AN61)+AN65-(AN66+AN67)+AN60-(AN49+AN53+AN54+AN57),3)</f>
        <v>0</v>
      </c>
      <c r="AP68" s="272">
        <f>ROUND(AP65-SUM(AP49,AP53,AP54,AP57,AP61,AP63,AP64)+AP62-(AP49+AP53+AP54+AP57+AP61)+AP65-(AP66+AP67)+AP60-(AP49+AP53+AP54+AP57),3)</f>
        <v>5.0000000000000001E-3</v>
      </c>
      <c r="AR68" s="272">
        <f>ROUND(AR65-SUM(AR49,AR53,AR54,AR57,AR61,AR63,AR64)+AR62-(AR49+AR53+AR54+AR57+AR61)+AR65-(AR66+AR67)+AR60-(AR49+AR53+AR54+AR57),3)</f>
        <v>0.01</v>
      </c>
    </row>
    <row r="69" spans="1:45" ht="17.399999999999999" collapsed="1" x14ac:dyDescent="0.3">
      <c r="A69" s="11"/>
      <c r="C69" s="121"/>
      <c r="D69"/>
      <c r="E69" s="242"/>
      <c r="F69" s="147"/>
      <c r="N69" s="121"/>
    </row>
    <row r="70" spans="1:45" ht="12" x14ac:dyDescent="0.2">
      <c r="B70" s="1"/>
      <c r="C70" s="347" t="s">
        <v>308</v>
      </c>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K70" s="59"/>
      <c r="AL70" s="59"/>
      <c r="AM70" s="59"/>
      <c r="AN70" s="59"/>
      <c r="AO70" s="59"/>
      <c r="AP70" s="59"/>
      <c r="AQ70" s="59"/>
    </row>
    <row r="71" spans="1:45" ht="17.399999999999999" x14ac:dyDescent="0.3">
      <c r="A71" s="11"/>
      <c r="C71" s="121"/>
      <c r="D71"/>
      <c r="E71" s="242"/>
      <c r="F71" s="147"/>
      <c r="N71" s="121"/>
    </row>
    <row r="72" spans="1:45" ht="15.6" x14ac:dyDescent="0.3">
      <c r="A72" s="50"/>
      <c r="B72" s="2"/>
      <c r="C72" s="176" t="s">
        <v>219</v>
      </c>
      <c r="D72" s="74"/>
    </row>
    <row r="73" spans="1:45" ht="24" x14ac:dyDescent="0.25">
      <c r="A73" s="234" t="s">
        <v>185</v>
      </c>
      <c r="B73" s="2"/>
      <c r="C73" s="67" t="s">
        <v>127</v>
      </c>
      <c r="D73" s="74"/>
      <c r="E73" s="68" t="str" cm="1">
        <f t="array" ref="E73">"Flows"&amp;" "&amp;"
"&amp;INDEX(TableYtd,MONTH(E$3),2)&amp;YEAR(E$3)</f>
        <v>Flows 
9M 2025</v>
      </c>
      <c r="F73" s="68" t="str" cm="1">
        <f t="array" ref="F73">"Flows"&amp;" "&amp;"
"&amp;INDEX(TableYtd,MONTH(F$3),2)&amp;YEAR(F$3)</f>
        <v>Flows 
9M 2024</v>
      </c>
      <c r="H73" s="68" t="str">
        <f>"Flows"&amp;" "&amp;"
"&amp;"Q"&amp;MONTH(H$3)/3&amp;" "&amp;YEAR(H$3)</f>
        <v>Flows 
Q3 2025</v>
      </c>
      <c r="I73" s="68" t="str">
        <f t="shared" ref="I73" si="64">"Flows"&amp;" "&amp;"
"&amp;"Q"&amp;MONTH(I$3)/3&amp;" "&amp;YEAR(I$3)</f>
        <v>Flows 
Q3 2024</v>
      </c>
      <c r="K73" s="68" t="str">
        <f>"Flows"&amp;" "&amp;"
"&amp;"Q"&amp;MONTH(K$3)/3&amp;" "&amp;YEAR(K$3)</f>
        <v>Flows 
Q2 2025</v>
      </c>
      <c r="L73" s="182"/>
      <c r="M73" s="182"/>
      <c r="N73" s="68" t="str" cm="1">
        <f t="array" ref="N73">"Flows"&amp;" "&amp;"
"&amp;INDEX(TableYtd,MONTH(N$3),2)&amp;YEAR(N$3)</f>
        <v>Flows 
9M 2025</v>
      </c>
      <c r="O73" s="68" t="str">
        <f>"Flows"&amp;" "&amp;"
"&amp;"Q"&amp;MONTH(O$3)/3&amp;" "&amp;YEAR(O$3)</f>
        <v>Flows 
Q3 2025</v>
      </c>
      <c r="P73" s="68" t="str" cm="1">
        <f t="array" ref="P73">"Flows"&amp;" "&amp;"
"&amp;INDEX(TableYtd,MONTH(P$3),2)&amp;YEAR(P$3)</f>
        <v>Flows 
H1 2025</v>
      </c>
      <c r="Q73" s="68" t="str">
        <f>"Flows"&amp;" "&amp;"
"&amp;"Q"&amp;MONTH(Q$3)/3&amp;" "&amp;YEAR(Q$3)</f>
        <v>Flows 
Q2 2025</v>
      </c>
      <c r="R73" s="68" t="str" cm="1">
        <f t="array" ref="R73">"Flows"&amp;" "&amp;"
"&amp;INDEX(TableYtd,MONTH(R$3),2)&amp;YEAR(R$3)</f>
        <v>Flows 
Q1 2025</v>
      </c>
      <c r="S73" s="68" t="str">
        <f>"Flows"&amp;" "&amp;"
"&amp;"Q"&amp;MONTH(S$3)/3&amp;" "&amp;YEAR(S$3)</f>
        <v>Flows 
Q1 2025</v>
      </c>
      <c r="U73" s="68" t="str" cm="1">
        <f t="array" ref="U73">"Flows"&amp;" "&amp;"
"&amp;INDEX(TableYtd,MONTH(U$3),2)&amp;YEAR(U$3)</f>
        <v>Flows 
FY 2024</v>
      </c>
      <c r="V73" s="68" t="str">
        <f>"Flows"&amp;" "&amp;"
"&amp;"Q"&amp;MONTH(V$3)/3&amp;" "&amp;YEAR(V$3)</f>
        <v>Flows 
Q4 2024</v>
      </c>
      <c r="W73" s="68" t="str" cm="1">
        <f t="array" ref="W73">"Flows"&amp;" "&amp;"
"&amp;INDEX(TableYtd,MONTH(W$3),2)&amp;YEAR(W$3)</f>
        <v>Flows 
9M 2024</v>
      </c>
      <c r="X73" s="68" t="str">
        <f>"Flows"&amp;" "&amp;"
"&amp;"Q"&amp;MONTH(X$3)/3&amp;" "&amp;YEAR(X$3)</f>
        <v>Flows 
Q3 2024</v>
      </c>
      <c r="Y73" s="68" t="str" cm="1">
        <f t="array" ref="Y73">"Flows"&amp;" "&amp;"
"&amp;INDEX(TableYtd,MONTH(Y$3),2)&amp;YEAR(Y$3)</f>
        <v>Flows 
H1 2024</v>
      </c>
      <c r="Z73" s="68" t="str">
        <f>"Flows"&amp;" "&amp;"
"&amp;"Q"&amp;MONTH(Z$3)/3&amp;" "&amp;YEAR(Z$3)</f>
        <v>Flows 
Q2 2024</v>
      </c>
      <c r="AA73" s="68" t="str" cm="1">
        <f t="array" ref="AA73">"Flows"&amp;" "&amp;"
"&amp;INDEX(TableYtd,MONTH(AA$3),2)&amp;YEAR(AA$3)</f>
        <v>Flows 
Q1 2024</v>
      </c>
      <c r="AC73" s="68" t="str" cm="1">
        <f t="array" ref="AC73">"Flows"&amp;" "&amp;"
"&amp;INDEX(TableYtd,MONTH(AC$3),2)&amp;YEAR(AC$3)</f>
        <v>Flows 
FY 2023</v>
      </c>
      <c r="AD73" s="68" t="str">
        <f>"Flows"&amp;" "&amp;"
"&amp;"Q"&amp;MONTH(AD$3)/3&amp;" "&amp;YEAR(AD$3)</f>
        <v>Flows 
Q4 2023</v>
      </c>
      <c r="AE73" s="68" t="str" cm="1">
        <f t="array" ref="AE73">"Flows"&amp;" "&amp;"
"&amp;INDEX(TableYtd,MONTH(AE$3),2)&amp;YEAR(AE$3)</f>
        <v>Flows 
9M 2023</v>
      </c>
      <c r="AF73" s="68" t="str">
        <f>"Flows"&amp;" "&amp;"
"&amp;"Q"&amp;MONTH(AF$3)/3&amp;" "&amp;YEAR(AF$3)</f>
        <v>Flows 
Q3 2023</v>
      </c>
      <c r="AG73" s="68" t="str" cm="1">
        <f t="array" ref="AG73">"Flows"&amp;" "&amp;"
"&amp;INDEX(TableYtd,MONTH(AG$3),2)&amp;YEAR(AG$3)</f>
        <v>Flows 
H1 2023</v>
      </c>
      <c r="AH73" s="68" t="str">
        <f>"Flows"&amp;" "&amp;"
"&amp;"Q"&amp;MONTH(AH$3)/3&amp;" "&amp;YEAR(AH$3)</f>
        <v>Flows 
Q2 2023</v>
      </c>
      <c r="AI73" s="68" t="str" cm="1">
        <f t="array" ref="AI73">"Flows"&amp;" "&amp;"
"&amp;INDEX(TableYtd,MONTH(AI$3),2)&amp;YEAR(AI$3)</f>
        <v>Flows 
Q1 2023</v>
      </c>
      <c r="AJ73" s="68" t="str">
        <f>"Flows"&amp;" "&amp;"
"&amp;"Q"&amp;MONTH(AJ$3)/3&amp;" "&amp;YEAR(AJ$3)</f>
        <v>Flows 
Q1 2023</v>
      </c>
      <c r="AL73" s="68" t="str" cm="1">
        <f t="array" ref="AL73">"Flows"&amp;" "&amp;"
"&amp;INDEX(TableYtd,MONTH(AL$3),2)&amp;YEAR(AL$3)</f>
        <v>Flows 
FY 2022</v>
      </c>
      <c r="AM73" s="68" t="str">
        <f>"Flows"&amp;" "&amp;"
"&amp;"Q"&amp;MONTH(AM$3)/3&amp;" "&amp;YEAR(AM$3)</f>
        <v>Flows 
Q4 2022</v>
      </c>
      <c r="AN73" s="68" t="str" cm="1">
        <f t="array" ref="AN73">"Flows"&amp;" "&amp;"
"&amp;INDEX(TableYtd,MONTH(AN$3),2)&amp;YEAR(AN$3)</f>
        <v>Flows 
9M 2022</v>
      </c>
      <c r="AO73" s="68" t="str">
        <f>"Flows"&amp;" "&amp;"
"&amp;"Q"&amp;MONTH(AO$3)/3&amp;" "&amp;YEAR(AO$3)</f>
        <v>Flows 
Q3 2022</v>
      </c>
      <c r="AP73" s="68" t="str" cm="1">
        <f t="array" ref="AP73">"Flows"&amp;" "&amp;"
"&amp;INDEX(TableYtd,MONTH(AP$3),2)&amp;YEAR(AP$3)</f>
        <v>Flows 
H1 2022</v>
      </c>
      <c r="AQ73" s="68" t="str">
        <f>"Flows"&amp;" "&amp;"
"&amp;"Q"&amp;MONTH(AQ$3)/3&amp;" "&amp;YEAR(AQ$3)</f>
        <v>Flows 
Q2 2022</v>
      </c>
      <c r="AR73" s="68" t="str" cm="1">
        <f t="array" ref="AR73">"Flows"&amp;" "&amp;"
"&amp;INDEX(TableYtd,MONTH(AR$3),2)&amp;YEAR(AR$3)</f>
        <v>Flows 
Q1 2022</v>
      </c>
      <c r="AS73" s="68" t="str">
        <f>"Flows"&amp;" "&amp;"
"&amp;"Q"&amp;MONTH(AS$3)/3&amp;" "&amp;YEAR(AS$3)</f>
        <v>Flows 
Q1 2022</v>
      </c>
    </row>
    <row r="74" spans="1:45" ht="15" customHeight="1" x14ac:dyDescent="0.25">
      <c r="A74" s="50" t="s">
        <v>285</v>
      </c>
      <c r="B74" s="51"/>
      <c r="C74" s="90" t="s">
        <v>227</v>
      </c>
      <c r="D74" s="74"/>
      <c r="E74" s="107">
        <v>8258833951.7722549</v>
      </c>
      <c r="F74" s="107">
        <v>2176898231.0070915</v>
      </c>
      <c r="H74" s="107">
        <v>-828498294.83861327</v>
      </c>
      <c r="I74" s="107">
        <v>-7142668667.4975948</v>
      </c>
      <c r="K74" s="107">
        <v>2916202332.5794716</v>
      </c>
      <c r="L74" s="183"/>
      <c r="M74" s="183"/>
      <c r="N74" s="107">
        <v>8258833951.7722549</v>
      </c>
      <c r="O74" s="107">
        <v>-828498294.83861327</v>
      </c>
      <c r="P74" s="107">
        <v>9087332246.6109142</v>
      </c>
      <c r="Q74" s="107">
        <v>2916202332.5794716</v>
      </c>
      <c r="R74" s="107">
        <v>6292008450.8030968</v>
      </c>
      <c r="S74" s="107">
        <v>6292008450.8030968</v>
      </c>
      <c r="U74" s="107">
        <v>7632810213.4487839</v>
      </c>
      <c r="V74" s="107">
        <v>5455911982.4416513</v>
      </c>
      <c r="W74" s="107">
        <v>2176898231.0070915</v>
      </c>
      <c r="X74" s="107">
        <v>-7142668667.4975948</v>
      </c>
      <c r="Y74" s="107">
        <v>9319566898.5047188</v>
      </c>
      <c r="Z74" s="107">
        <v>8049690555.3353844</v>
      </c>
      <c r="AA74" s="107">
        <v>1269876343.1693611</v>
      </c>
      <c r="AC74" s="107">
        <v>-21334947440.170971</v>
      </c>
      <c r="AD74" s="107">
        <v>-5707455832.420785</v>
      </c>
      <c r="AE74" s="107">
        <v>-15627491607.750162</v>
      </c>
      <c r="AF74" s="107">
        <v>-1916583078.9801893</v>
      </c>
      <c r="AG74" s="107">
        <v>-13710908528.76997</v>
      </c>
      <c r="AH74" s="107">
        <v>-649221143.48483515</v>
      </c>
      <c r="AI74" s="107">
        <v>-13061687385.285135</v>
      </c>
      <c r="AJ74" s="107">
        <v>-13061687385.285135</v>
      </c>
      <c r="AL74" s="107">
        <v>-6130481511.6163864</v>
      </c>
      <c r="AM74" s="107">
        <v>-6805993377.7749529</v>
      </c>
      <c r="AN74" s="107">
        <v>675511866.15856647</v>
      </c>
      <c r="AO74" s="107">
        <v>1106861251.8940926</v>
      </c>
      <c r="AP74" s="107">
        <v>-431349385.73552608</v>
      </c>
      <c r="AQ74" s="107">
        <v>-9515400106.8541183</v>
      </c>
      <c r="AR74" s="107">
        <v>9084050721.1185913</v>
      </c>
      <c r="AS74" s="107">
        <v>9084050721.1185913</v>
      </c>
    </row>
    <row r="75" spans="1:45" ht="12" x14ac:dyDescent="0.25">
      <c r="A75" s="11" t="s">
        <v>286</v>
      </c>
      <c r="B75" s="51"/>
      <c r="C75" s="243" t="s">
        <v>133</v>
      </c>
      <c r="D75" s="75"/>
      <c r="E75" s="100">
        <v>-7343396513.0742559</v>
      </c>
      <c r="F75" s="100">
        <v>-5432601589.4949636</v>
      </c>
      <c r="H75" s="100">
        <v>-2503627442.2797813</v>
      </c>
      <c r="I75" s="100">
        <v>-2284699955.9922395</v>
      </c>
      <c r="K75" s="100">
        <v>-813537213.55163443</v>
      </c>
      <c r="L75" s="100"/>
      <c r="M75" s="100"/>
      <c r="N75" s="100">
        <v>-7343396513.0742559</v>
      </c>
      <c r="O75" s="100">
        <v>-2503627442.2797813</v>
      </c>
      <c r="P75" s="100">
        <v>-4839769070.7944727</v>
      </c>
      <c r="Q75" s="100">
        <v>-813537213.55163443</v>
      </c>
      <c r="R75" s="100">
        <v>-3941115288.7211757</v>
      </c>
      <c r="S75" s="100">
        <v>-3941115288.7211757</v>
      </c>
      <c r="U75" s="100">
        <v>-7904985144.2562628</v>
      </c>
      <c r="V75" s="100">
        <v>-2472383554.7612882</v>
      </c>
      <c r="W75" s="100">
        <v>-5432601589.4949636</v>
      </c>
      <c r="X75" s="100">
        <v>-2284699955.9922395</v>
      </c>
      <c r="Y75" s="100">
        <v>-3147901633.5027142</v>
      </c>
      <c r="Z75" s="100">
        <v>-358998145.78196412</v>
      </c>
      <c r="AA75" s="100">
        <v>-2788903487.7207427</v>
      </c>
      <c r="AC75" s="100">
        <v>-4587561220.2046976</v>
      </c>
      <c r="AD75" s="100">
        <v>-2094557613.9868438</v>
      </c>
      <c r="AE75" s="100">
        <v>-2493003606.2178459</v>
      </c>
      <c r="AF75" s="100">
        <v>-1642680794.8618841</v>
      </c>
      <c r="AG75" s="100">
        <v>-850322811.35596144</v>
      </c>
      <c r="AH75" s="100">
        <v>445830861.70917124</v>
      </c>
      <c r="AI75" s="100">
        <v>-1296153673.065134</v>
      </c>
      <c r="AJ75" s="100">
        <v>-1296153673.065134</v>
      </c>
      <c r="AL75" s="100">
        <v>4703312293.561017</v>
      </c>
      <c r="AM75" s="100">
        <v>-208549974.66927147</v>
      </c>
      <c r="AN75" s="100">
        <v>4911862268.2302885</v>
      </c>
      <c r="AO75" s="100">
        <v>2018411411.3908153</v>
      </c>
      <c r="AP75" s="100">
        <v>2893450856.8394732</v>
      </c>
      <c r="AQ75" s="100">
        <v>3617876104.3745313</v>
      </c>
      <c r="AR75" s="100">
        <v>-724425247.53505814</v>
      </c>
      <c r="AS75" s="100">
        <v>-724425247.53505814</v>
      </c>
    </row>
    <row r="76" spans="1:45" x14ac:dyDescent="0.2">
      <c r="A76" s="11" t="s">
        <v>287</v>
      </c>
      <c r="B76" s="51"/>
      <c r="C76" s="243" t="s">
        <v>134</v>
      </c>
      <c r="D76" s="74"/>
      <c r="E76" s="100">
        <v>1661130187.2159984</v>
      </c>
      <c r="F76" s="100">
        <v>-23383082627.842728</v>
      </c>
      <c r="H76" s="100">
        <v>2599984412.3041482</v>
      </c>
      <c r="I76" s="100">
        <v>-15674181554.582153</v>
      </c>
      <c r="K76" s="100">
        <v>37891526.610048622</v>
      </c>
      <c r="L76" s="100"/>
      <c r="M76" s="100"/>
      <c r="N76" s="100">
        <v>1661130187.2159984</v>
      </c>
      <c r="O76" s="100">
        <v>2599984412.3041482</v>
      </c>
      <c r="P76" s="100">
        <v>-938854225.08814514</v>
      </c>
      <c r="Q76" s="100">
        <v>37891526.610048622</v>
      </c>
      <c r="R76" s="100">
        <v>-965611438.89819396</v>
      </c>
      <c r="S76" s="100">
        <v>-965611438.89819396</v>
      </c>
      <c r="U76" s="100">
        <v>-24533766492.222435</v>
      </c>
      <c r="V76" s="100">
        <v>-1150683864.3797288</v>
      </c>
      <c r="W76" s="100">
        <v>-23383082627.842728</v>
      </c>
      <c r="X76" s="100">
        <v>-15674181554.582153</v>
      </c>
      <c r="Y76" s="100">
        <v>-7708901073.260561</v>
      </c>
      <c r="Z76" s="100">
        <v>278537441.84659582</v>
      </c>
      <c r="AA76" s="100">
        <v>-7987438515.107152</v>
      </c>
      <c r="AC76" s="100">
        <v>-26020395332.053711</v>
      </c>
      <c r="AD76" s="100">
        <v>-7832435008.6386223</v>
      </c>
      <c r="AE76" s="100">
        <v>-18187960323.415077</v>
      </c>
      <c r="AF76" s="100">
        <v>-6342079725.6715565</v>
      </c>
      <c r="AG76" s="100">
        <v>-11845880597.743521</v>
      </c>
      <c r="AH76" s="100">
        <v>-4258371095.0533047</v>
      </c>
      <c r="AI76" s="100">
        <v>-7587509502.690218</v>
      </c>
      <c r="AJ76" s="100">
        <v>-7587509502.690218</v>
      </c>
      <c r="AL76" s="100">
        <v>-3442647585.806459</v>
      </c>
      <c r="AM76" s="100">
        <v>-3975875416.5344987</v>
      </c>
      <c r="AN76" s="100">
        <v>533227830.72803968</v>
      </c>
      <c r="AO76" s="100">
        <v>-4321140143.3210106</v>
      </c>
      <c r="AP76" s="100">
        <v>4854367974.0490503</v>
      </c>
      <c r="AQ76" s="100">
        <v>-6147825377.496604</v>
      </c>
      <c r="AR76" s="100">
        <v>11002193351.545654</v>
      </c>
      <c r="AS76" s="100">
        <v>11002193351.545654</v>
      </c>
    </row>
    <row r="77" spans="1:45" x14ac:dyDescent="0.2">
      <c r="A77" s="11" t="s">
        <v>288</v>
      </c>
      <c r="B77" s="51"/>
      <c r="C77" s="244" t="s">
        <v>135</v>
      </c>
      <c r="D77" s="74"/>
      <c r="E77" s="100">
        <v>13941100277.630512</v>
      </c>
      <c r="F77" s="100">
        <v>30992582448.344784</v>
      </c>
      <c r="H77" s="100">
        <v>-924855264.86298013</v>
      </c>
      <c r="I77" s="100">
        <v>10816212843.076799</v>
      </c>
      <c r="K77" s="100">
        <v>3691848019.5210571</v>
      </c>
      <c r="L77" s="100"/>
      <c r="M77" s="100"/>
      <c r="N77" s="100">
        <v>13941100277.630512</v>
      </c>
      <c r="O77" s="100">
        <v>-924855264.86298013</v>
      </c>
      <c r="P77" s="100">
        <v>14865955542.493532</v>
      </c>
      <c r="Q77" s="100">
        <v>3691848019.5210571</v>
      </c>
      <c r="R77" s="100">
        <v>11198735178.422466</v>
      </c>
      <c r="S77" s="100">
        <v>11198735178.422466</v>
      </c>
      <c r="U77" s="100">
        <v>40071561849.927483</v>
      </c>
      <c r="V77" s="100">
        <v>9078979401.5826683</v>
      </c>
      <c r="W77" s="100">
        <v>30992582448.344784</v>
      </c>
      <c r="X77" s="100">
        <v>10816212843.076799</v>
      </c>
      <c r="Y77" s="100">
        <v>20176369605.267994</v>
      </c>
      <c r="Z77" s="100">
        <v>8130151259.2707529</v>
      </c>
      <c r="AA77" s="100">
        <v>12046218345.997255</v>
      </c>
      <c r="AC77" s="100">
        <v>9273009112.0874367</v>
      </c>
      <c r="AD77" s="100">
        <v>4219536790.2046804</v>
      </c>
      <c r="AE77" s="100">
        <v>5053472321.882761</v>
      </c>
      <c r="AF77" s="100">
        <v>6068177441.5532513</v>
      </c>
      <c r="AG77" s="100">
        <v>-1014705119.6704884</v>
      </c>
      <c r="AH77" s="100">
        <v>3163319089.8592982</v>
      </c>
      <c r="AI77" s="100">
        <v>-4178024209.5297837</v>
      </c>
      <c r="AJ77" s="100">
        <v>-4178024209.5297837</v>
      </c>
      <c r="AL77" s="100">
        <v>-7391146219.370944</v>
      </c>
      <c r="AM77" s="100">
        <v>-2621567986.5711823</v>
      </c>
      <c r="AN77" s="100">
        <v>-4769578232.7997618</v>
      </c>
      <c r="AO77" s="100">
        <v>3409589983.8242874</v>
      </c>
      <c r="AP77" s="100">
        <v>-8179168216.6240492</v>
      </c>
      <c r="AQ77" s="100">
        <v>-6985450833.7320452</v>
      </c>
      <c r="AR77" s="100">
        <v>-1193717382.892004</v>
      </c>
      <c r="AS77" s="100">
        <v>-1193717382.892004</v>
      </c>
    </row>
    <row r="78" spans="1:45" ht="15" customHeight="1" x14ac:dyDescent="0.25">
      <c r="A78" s="50" t="s">
        <v>281</v>
      </c>
      <c r="B78" s="51"/>
      <c r="C78" s="90" t="s">
        <v>139</v>
      </c>
      <c r="D78" s="74"/>
      <c r="E78" s="107">
        <v>-4430968313.3790836</v>
      </c>
      <c r="F78" s="107">
        <v>2735676924.7838664</v>
      </c>
      <c r="H78" s="107">
        <v>-952369729.42978656</v>
      </c>
      <c r="I78" s="107">
        <v>805456283.69422889</v>
      </c>
      <c r="K78" s="107">
        <v>-1435563497.1788671</v>
      </c>
      <c r="L78" s="183"/>
      <c r="M78" s="183"/>
      <c r="N78" s="107">
        <v>-4430968313.3790836</v>
      </c>
      <c r="O78" s="107">
        <v>-952369729.42978656</v>
      </c>
      <c r="P78" s="107">
        <v>-3478598583.9492979</v>
      </c>
      <c r="Q78" s="107">
        <v>-1435563497.1788671</v>
      </c>
      <c r="R78" s="107">
        <v>-2043035086.7704301</v>
      </c>
      <c r="S78" s="107">
        <v>-2043035086.7704301</v>
      </c>
      <c r="U78" s="107">
        <v>3645034843.9839153</v>
      </c>
      <c r="V78" s="107">
        <v>909357919.20004797</v>
      </c>
      <c r="W78" s="107">
        <v>2735676924.7838664</v>
      </c>
      <c r="X78" s="107">
        <v>805456283.69422889</v>
      </c>
      <c r="Y78" s="107">
        <v>1930220641.0896368</v>
      </c>
      <c r="Z78" s="107">
        <v>1316295896.7125449</v>
      </c>
      <c r="AA78" s="107">
        <v>613924744.37709093</v>
      </c>
      <c r="AC78" s="107">
        <v>5637134912.0719662</v>
      </c>
      <c r="AD78" s="107">
        <v>2782507474.4589272</v>
      </c>
      <c r="AE78" s="107">
        <v>2854627437.6130381</v>
      </c>
      <c r="AF78" s="107">
        <v>-201141782.41999516</v>
      </c>
      <c r="AG78" s="107">
        <v>3055769220.0330338</v>
      </c>
      <c r="AH78" s="107">
        <v>2002530501.4214139</v>
      </c>
      <c r="AI78" s="107">
        <v>1053238718.611621</v>
      </c>
      <c r="AJ78" s="107">
        <v>1053238718.611621</v>
      </c>
      <c r="AL78" s="107">
        <v>-82089974.392936289</v>
      </c>
      <c r="AM78" s="107">
        <v>2758170818.638792</v>
      </c>
      <c r="AN78" s="107">
        <v>-2840260793.0317283</v>
      </c>
      <c r="AO78" s="107">
        <v>24751536.077944279</v>
      </c>
      <c r="AP78" s="107">
        <v>-2865012329.1096725</v>
      </c>
      <c r="AQ78" s="107">
        <v>-1638919093.8513064</v>
      </c>
      <c r="AR78" s="107">
        <v>-1226093235.2583661</v>
      </c>
      <c r="AS78" s="107">
        <v>-1226093235.2583661</v>
      </c>
    </row>
    <row r="79" spans="1:45" ht="15" customHeight="1" x14ac:dyDescent="0.25">
      <c r="A79" s="50" t="s">
        <v>289</v>
      </c>
      <c r="B79" s="51"/>
      <c r="C79" s="90" t="s">
        <v>228</v>
      </c>
      <c r="D79" s="74"/>
      <c r="E79" s="107">
        <v>54594653264.419922</v>
      </c>
      <c r="F79" s="107">
        <v>12350596742.642176</v>
      </c>
      <c r="H79" s="107">
        <v>10421923635.644888</v>
      </c>
      <c r="I79" s="107">
        <v>3837089626.7739482</v>
      </c>
      <c r="K79" s="107">
        <v>10673216867.376347</v>
      </c>
      <c r="L79" s="183"/>
      <c r="M79" s="183"/>
      <c r="N79" s="107">
        <v>54594653264.419922</v>
      </c>
      <c r="O79" s="107">
        <v>10421923635.644888</v>
      </c>
      <c r="P79" s="107">
        <v>44172729628.775047</v>
      </c>
      <c r="Q79" s="107">
        <v>10673216867.376347</v>
      </c>
      <c r="R79" s="107">
        <v>33378634224.627052</v>
      </c>
      <c r="S79" s="107">
        <v>33378634224.627052</v>
      </c>
      <c r="U79" s="107">
        <v>23881469868.467056</v>
      </c>
      <c r="V79" s="107">
        <v>11530873125.82481</v>
      </c>
      <c r="W79" s="107">
        <v>12350596742.642176</v>
      </c>
      <c r="X79" s="107">
        <v>3837089626.7739482</v>
      </c>
      <c r="Y79" s="107">
        <v>8513507115.868228</v>
      </c>
      <c r="Z79" s="107">
        <v>6028352132.8580408</v>
      </c>
      <c r="AA79" s="107">
        <v>2485154983.0102139</v>
      </c>
      <c r="AC79" s="107">
        <v>16558709925.837212</v>
      </c>
      <c r="AD79" s="107">
        <v>5752429083.9184685</v>
      </c>
      <c r="AE79" s="107">
        <v>10806280841.918758</v>
      </c>
      <c r="AF79" s="107">
        <v>10776685162.149691</v>
      </c>
      <c r="AG79" s="107">
        <v>29595679.769062459</v>
      </c>
      <c r="AH79" s="107">
        <v>260959725.89609188</v>
      </c>
      <c r="AI79" s="107">
        <v>-231364046.12702751</v>
      </c>
      <c r="AJ79" s="107">
        <v>-231364046.12702751</v>
      </c>
      <c r="AL79" s="107">
        <v>13818794285.282848</v>
      </c>
      <c r="AM79" s="107">
        <v>6268944318.0307579</v>
      </c>
      <c r="AN79" s="107">
        <v>7549849967.2520905</v>
      </c>
      <c r="AO79" s="107">
        <v>-3823422889.481575</v>
      </c>
      <c r="AP79" s="107">
        <v>11373272856.733665</v>
      </c>
      <c r="AQ79" s="107">
        <v>798691126.34828377</v>
      </c>
      <c r="AR79" s="107">
        <v>10574581730.385382</v>
      </c>
      <c r="AS79" s="107">
        <v>10574581730.385382</v>
      </c>
    </row>
    <row r="80" spans="1:45" ht="12" x14ac:dyDescent="0.25">
      <c r="A80" s="11" t="s">
        <v>290</v>
      </c>
      <c r="B80" s="51"/>
      <c r="C80" s="243" t="s">
        <v>229</v>
      </c>
      <c r="D80" s="75"/>
      <c r="E80" s="100">
        <v>28358036249.283493</v>
      </c>
      <c r="F80" s="100">
        <v>17325691913.810841</v>
      </c>
      <c r="H80" s="100">
        <v>9781354412.3323002</v>
      </c>
      <c r="I80" s="100">
        <v>7796219527.1587925</v>
      </c>
      <c r="K80" s="100">
        <v>8181509046.1011972</v>
      </c>
      <c r="L80" s="109"/>
      <c r="M80" s="109"/>
      <c r="N80" s="100">
        <v>28358036249.283493</v>
      </c>
      <c r="O80" s="100">
        <v>9781354412.3323002</v>
      </c>
      <c r="P80" s="100">
        <v>18576681836.951195</v>
      </c>
      <c r="Q80" s="100">
        <v>8181509046.1011972</v>
      </c>
      <c r="R80" s="100">
        <v>10395172790.850035</v>
      </c>
      <c r="S80" s="100">
        <v>10395172790.850035</v>
      </c>
      <c r="U80" s="100">
        <v>27831229627.83112</v>
      </c>
      <c r="V80" s="100">
        <v>10505537714.020199</v>
      </c>
      <c r="W80" s="100">
        <v>17325691913.810841</v>
      </c>
      <c r="X80" s="100">
        <v>7796219527.1587925</v>
      </c>
      <c r="Y80" s="100">
        <v>9529472386.65205</v>
      </c>
      <c r="Z80" s="100">
        <v>4500629916.591198</v>
      </c>
      <c r="AA80" s="100">
        <v>5028842470.0608797</v>
      </c>
      <c r="AC80" s="100">
        <v>12998655604.005404</v>
      </c>
      <c r="AD80" s="100">
        <v>5035250210.3183031</v>
      </c>
      <c r="AE80" s="100">
        <v>7963405393.6871176</v>
      </c>
      <c r="AF80" s="100">
        <v>3570419943.5471039</v>
      </c>
      <c r="AG80" s="100">
        <v>4392985450.1400023</v>
      </c>
      <c r="AH80" s="100">
        <v>2459233140.7566018</v>
      </c>
      <c r="AI80" s="100">
        <v>1933752309.3834035</v>
      </c>
      <c r="AJ80" s="100">
        <v>1933752309.3834035</v>
      </c>
      <c r="AL80" s="100">
        <v>5248981328.6901722</v>
      </c>
      <c r="AM80" s="100">
        <v>625908617.99369335</v>
      </c>
      <c r="AN80" s="100">
        <v>4623072710.6964788</v>
      </c>
      <c r="AO80" s="100">
        <v>-4804960069.0589266</v>
      </c>
      <c r="AP80" s="100">
        <v>9428032779.7554054</v>
      </c>
      <c r="AQ80" s="100">
        <v>91248534.176977158</v>
      </c>
      <c r="AR80" s="100">
        <v>9336784245.5784283</v>
      </c>
      <c r="AS80" s="100">
        <v>9336784245.5784283</v>
      </c>
    </row>
    <row r="81" spans="1:45" ht="12" x14ac:dyDescent="0.25">
      <c r="A81" s="11" t="s">
        <v>226</v>
      </c>
      <c r="B81" s="51"/>
      <c r="C81" s="244" t="s">
        <v>307</v>
      </c>
      <c r="D81" s="74"/>
      <c r="E81" s="100">
        <v>26236617015.136433</v>
      </c>
      <c r="F81" s="100">
        <v>-4975095171.1686649</v>
      </c>
      <c r="H81" s="100">
        <v>640569223.31258714</v>
      </c>
      <c r="I81" s="100">
        <v>-3959129900.3848443</v>
      </c>
      <c r="K81" s="100">
        <v>2491707821.2751493</v>
      </c>
      <c r="L81" s="183"/>
      <c r="M81" s="183"/>
      <c r="N81" s="100">
        <v>26236617015.136433</v>
      </c>
      <c r="O81" s="100">
        <v>640569223.31258714</v>
      </c>
      <c r="P81" s="100">
        <v>25596047791.823853</v>
      </c>
      <c r="Q81" s="100">
        <v>2491707821.2751493</v>
      </c>
      <c r="R81" s="100">
        <v>22983461433.77702</v>
      </c>
      <c r="S81" s="100">
        <v>22983461433.77702</v>
      </c>
      <c r="U81" s="100">
        <v>-3949759759.3640623</v>
      </c>
      <c r="V81" s="100">
        <v>1025335411.8046122</v>
      </c>
      <c r="W81" s="100">
        <v>-4975095171.1686649</v>
      </c>
      <c r="X81" s="100">
        <v>-3959129900.3848443</v>
      </c>
      <c r="Y81" s="100">
        <v>-1015965270.7838225</v>
      </c>
      <c r="Z81" s="100">
        <v>1527722216.2668421</v>
      </c>
      <c r="AA81" s="100">
        <v>-2543687487.0506659</v>
      </c>
      <c r="AC81" s="100">
        <v>3560054321.83181</v>
      </c>
      <c r="AD81" s="100">
        <v>717178873.60016572</v>
      </c>
      <c r="AE81" s="100">
        <v>2842875448.2316413</v>
      </c>
      <c r="AF81" s="100">
        <v>7206265218.6025848</v>
      </c>
      <c r="AG81" s="100">
        <v>-4363389770.3709402</v>
      </c>
      <c r="AH81" s="100">
        <v>-2198273414.8605099</v>
      </c>
      <c r="AI81" s="100">
        <v>-2165116355.5104313</v>
      </c>
      <c r="AJ81" s="100">
        <v>-2165116355.5104313</v>
      </c>
      <c r="AL81" s="100">
        <v>8569812956.5926762</v>
      </c>
      <c r="AM81" s="100">
        <v>5643035700.0370646</v>
      </c>
      <c r="AN81" s="100">
        <v>2926777256.5556116</v>
      </c>
      <c r="AO81" s="100">
        <v>981537179.57735121</v>
      </c>
      <c r="AP81" s="100">
        <v>1945240076.9782603</v>
      </c>
      <c r="AQ81" s="100">
        <v>707442592.17130733</v>
      </c>
      <c r="AR81" s="100">
        <v>1237797484.806953</v>
      </c>
      <c r="AS81" s="100">
        <v>1237797484.806953</v>
      </c>
    </row>
    <row r="82" spans="1:45" ht="15" customHeight="1" x14ac:dyDescent="0.25">
      <c r="A82" s="50" t="s">
        <v>291</v>
      </c>
      <c r="B82" s="51"/>
      <c r="C82" s="90" t="s">
        <v>230</v>
      </c>
      <c r="D82" s="74"/>
      <c r="E82" s="107">
        <v>-1440675666.2998729</v>
      </c>
      <c r="F82" s="107">
        <v>-1197635481.3352916</v>
      </c>
      <c r="H82" s="107">
        <v>315911945.64493066</v>
      </c>
      <c r="I82" s="107">
        <v>39058626.260000259</v>
      </c>
      <c r="K82" s="107">
        <v>-1015834549.8949311</v>
      </c>
      <c r="L82" s="183"/>
      <c r="M82" s="183"/>
      <c r="N82" s="107">
        <v>-1440675666.2998729</v>
      </c>
      <c r="O82" s="107">
        <v>315911945.64493066</v>
      </c>
      <c r="P82" s="107">
        <v>-1756587611.944804</v>
      </c>
      <c r="Q82" s="107">
        <v>-1015834549.8949311</v>
      </c>
      <c r="R82" s="107">
        <v>-740753062.04987228</v>
      </c>
      <c r="S82" s="107">
        <v>-740753062.04987228</v>
      </c>
      <c r="U82" s="107">
        <v>-1205289758.8852909</v>
      </c>
      <c r="V82" s="107">
        <v>-7654277.5499997512</v>
      </c>
      <c r="W82" s="107">
        <v>-1197635481.3352916</v>
      </c>
      <c r="X82" s="107">
        <v>39058626.260000259</v>
      </c>
      <c r="Y82" s="107">
        <v>-1236694107.5952921</v>
      </c>
      <c r="Z82" s="107">
        <v>-297118126.68585217</v>
      </c>
      <c r="AA82" s="107">
        <v>-939575980.90943992</v>
      </c>
      <c r="AC82" s="107">
        <v>-1344817548.222158</v>
      </c>
      <c r="AD82" s="107">
        <v>-892551891.10763443</v>
      </c>
      <c r="AE82" s="107">
        <v>-452265657.11452252</v>
      </c>
      <c r="AF82" s="107">
        <v>-871579509.29803503</v>
      </c>
      <c r="AG82" s="107">
        <v>419313852.18351215</v>
      </c>
      <c r="AH82" s="107">
        <v>543955651.38280761</v>
      </c>
      <c r="AI82" s="107">
        <v>-124641799.19929428</v>
      </c>
      <c r="AJ82" s="107">
        <v>-124641799.19929428</v>
      </c>
      <c r="AL82" s="107">
        <v>215887950.0187701</v>
      </c>
      <c r="AM82" s="107">
        <v>-1866408200.3415384</v>
      </c>
      <c r="AN82" s="107">
        <v>2082296150.3603086</v>
      </c>
      <c r="AO82" s="107">
        <v>-833889444.23269224</v>
      </c>
      <c r="AP82" s="107">
        <v>2916185594.5930009</v>
      </c>
      <c r="AQ82" s="107">
        <v>337031657.00386047</v>
      </c>
      <c r="AR82" s="107">
        <v>2579153937.5891404</v>
      </c>
      <c r="AS82" s="107">
        <v>2579153937.5891404</v>
      </c>
    </row>
    <row r="83" spans="1:45" ht="12" x14ac:dyDescent="0.25">
      <c r="A83" s="11" t="s">
        <v>279</v>
      </c>
      <c r="B83" s="51"/>
      <c r="C83" s="243" t="s">
        <v>137</v>
      </c>
      <c r="D83" s="74"/>
      <c r="E83" s="100">
        <v>-850057767.33987284</v>
      </c>
      <c r="F83" s="100">
        <v>-90704651.72999984</v>
      </c>
      <c r="H83" s="100">
        <v>395871503.6499998</v>
      </c>
      <c r="I83" s="100">
        <v>190097192.45999998</v>
      </c>
      <c r="K83" s="100">
        <v>-615152294.28000021</v>
      </c>
      <c r="L83" s="183"/>
      <c r="M83" s="183"/>
      <c r="N83" s="100">
        <v>-850057767.33987284</v>
      </c>
      <c r="O83" s="100">
        <v>395871503.6499998</v>
      </c>
      <c r="P83" s="100">
        <v>-1245929270.9898727</v>
      </c>
      <c r="Q83" s="100">
        <v>-615152294.28000021</v>
      </c>
      <c r="R83" s="100">
        <v>-630776976.70987272</v>
      </c>
      <c r="S83" s="100">
        <v>-630776976.70987272</v>
      </c>
      <c r="U83" s="100">
        <v>11776599.6899997</v>
      </c>
      <c r="V83" s="100">
        <v>102481251.42000024</v>
      </c>
      <c r="W83" s="100">
        <v>-90704651.72999984</v>
      </c>
      <c r="X83" s="100">
        <v>190097192.45999998</v>
      </c>
      <c r="Y83" s="100">
        <v>-280801844.1900003</v>
      </c>
      <c r="Z83" s="100">
        <v>-87614657.600407064</v>
      </c>
      <c r="AA83" s="100">
        <v>-193187186.5895929</v>
      </c>
      <c r="AC83" s="100">
        <v>-1372343.9034039043</v>
      </c>
      <c r="AD83" s="100">
        <v>-210963273.66763434</v>
      </c>
      <c r="AE83" s="100">
        <v>209590929.7642304</v>
      </c>
      <c r="AF83" s="100">
        <v>-304574344.45975477</v>
      </c>
      <c r="AG83" s="100">
        <v>514165274.22398478</v>
      </c>
      <c r="AH83" s="100">
        <v>629192920.37835228</v>
      </c>
      <c r="AI83" s="100">
        <v>-115027646.15436728</v>
      </c>
      <c r="AJ83" s="100">
        <v>-115027646.15436728</v>
      </c>
      <c r="AL83" s="100">
        <v>4085582909.3600006</v>
      </c>
      <c r="AM83" s="100">
        <v>1038057129.4949474</v>
      </c>
      <c r="AN83" s="100">
        <v>3047525779.8650532</v>
      </c>
      <c r="AO83" s="100">
        <v>259716206.81692934</v>
      </c>
      <c r="AP83" s="100">
        <v>2787809573.0481238</v>
      </c>
      <c r="AQ83" s="100">
        <v>605902513.39120531</v>
      </c>
      <c r="AR83" s="100">
        <v>2181907059.6569185</v>
      </c>
      <c r="AS83" s="100">
        <v>2181907059.6569185</v>
      </c>
    </row>
    <row r="84" spans="1:45" ht="12" x14ac:dyDescent="0.25">
      <c r="A84" s="11" t="s">
        <v>280</v>
      </c>
      <c r="B84" s="51"/>
      <c r="C84" s="243" t="s">
        <v>138</v>
      </c>
      <c r="D84" s="74"/>
      <c r="E84" s="100">
        <v>-590617898.95999992</v>
      </c>
      <c r="F84" s="100">
        <v>-1106930829.6052918</v>
      </c>
      <c r="G84" s="100"/>
      <c r="H84" s="100">
        <v>-79959558.005069152</v>
      </c>
      <c r="I84" s="100">
        <v>-151038566.19999999</v>
      </c>
      <c r="K84" s="100">
        <v>-400682255.61493087</v>
      </c>
      <c r="L84" s="183"/>
      <c r="M84" s="183"/>
      <c r="N84" s="100">
        <v>-590617898.95999992</v>
      </c>
      <c r="O84" s="100">
        <v>-79959558.005069152</v>
      </c>
      <c r="P84" s="100">
        <v>-510658340.9549306</v>
      </c>
      <c r="Q84" s="100">
        <v>-400682255.61493087</v>
      </c>
      <c r="R84" s="100">
        <v>-109976085.34000005</v>
      </c>
      <c r="S84" s="100">
        <v>-109976085.34000005</v>
      </c>
      <c r="U84" s="100">
        <v>-1217066358.5752916</v>
      </c>
      <c r="V84" s="100">
        <v>-110135528.97</v>
      </c>
      <c r="W84" s="100">
        <v>-1106930829.6052918</v>
      </c>
      <c r="X84" s="100">
        <v>-151038566.19999999</v>
      </c>
      <c r="Y84" s="100">
        <v>-955892263.40529239</v>
      </c>
      <c r="Z84" s="100">
        <v>-209503469.08544517</v>
      </c>
      <c r="AA84" s="100">
        <v>-746388794.31984687</v>
      </c>
      <c r="AC84" s="100">
        <v>-1343445204.318753</v>
      </c>
      <c r="AD84" s="100">
        <v>-681588617.44000006</v>
      </c>
      <c r="AE84" s="100">
        <v>-661856586.87875295</v>
      </c>
      <c r="AF84" s="100">
        <v>-567005164.8382802</v>
      </c>
      <c r="AG84" s="100">
        <v>-94851422.040472463</v>
      </c>
      <c r="AH84" s="100">
        <v>-85237268.995544761</v>
      </c>
      <c r="AI84" s="100">
        <v>-9614153.0449272543</v>
      </c>
      <c r="AJ84" s="100">
        <v>-9614153.0449272543</v>
      </c>
      <c r="AL84" s="100">
        <v>-3869694959.3412294</v>
      </c>
      <c r="AM84" s="100">
        <v>-2904465329.8364902</v>
      </c>
      <c r="AN84" s="100">
        <v>-965229629.50473928</v>
      </c>
      <c r="AO84" s="100">
        <v>-1093605651.0496178</v>
      </c>
      <c r="AP84" s="100">
        <v>128376021.54487841</v>
      </c>
      <c r="AQ84" s="100">
        <v>-268870856.38734329</v>
      </c>
      <c r="AR84" s="100">
        <v>397246877.93222171</v>
      </c>
      <c r="AS84" s="100">
        <v>397246877.93222171</v>
      </c>
    </row>
    <row r="85" spans="1:45" ht="15" customHeight="1" x14ac:dyDescent="0.25">
      <c r="A85" s="50" t="s">
        <v>282</v>
      </c>
      <c r="B85" s="51"/>
      <c r="C85" s="96" t="s">
        <v>241</v>
      </c>
      <c r="D85" s="74"/>
      <c r="E85" s="104">
        <v>56981843236.513237</v>
      </c>
      <c r="F85" s="104">
        <v>16065536417.097858</v>
      </c>
      <c r="H85" s="104">
        <v>8956967557.0213966</v>
      </c>
      <c r="I85" s="104">
        <v>-2461064130.7694316</v>
      </c>
      <c r="K85" s="104">
        <v>11138021152.882027</v>
      </c>
      <c r="L85" s="183"/>
      <c r="M85" s="183"/>
      <c r="N85" s="104">
        <v>56981843236.513237</v>
      </c>
      <c r="O85" s="104">
        <v>8956967557.0213966</v>
      </c>
      <c r="P85" s="104">
        <v>48024875679.491867</v>
      </c>
      <c r="Q85" s="104">
        <v>11138021152.882027</v>
      </c>
      <c r="R85" s="104">
        <v>36886854526.60984</v>
      </c>
      <c r="S85" s="104">
        <v>36886854526.60984</v>
      </c>
      <c r="U85" s="104">
        <v>33954025167.01442</v>
      </c>
      <c r="V85" s="104">
        <v>17888488749.916512</v>
      </c>
      <c r="W85" s="104">
        <v>16065536417.097858</v>
      </c>
      <c r="X85" s="104">
        <v>-2461064130.7694316</v>
      </c>
      <c r="Y85" s="104">
        <v>18526600547.867294</v>
      </c>
      <c r="Z85" s="104">
        <v>15097220458.220123</v>
      </c>
      <c r="AA85" s="104">
        <v>3429380089.6472244</v>
      </c>
      <c r="AC85" s="104">
        <v>-483920150.48391342</v>
      </c>
      <c r="AD85" s="104">
        <v>1934928834.848974</v>
      </c>
      <c r="AE85" s="104">
        <v>-2418848985.3328953</v>
      </c>
      <c r="AF85" s="104">
        <v>7787380791.4514427</v>
      </c>
      <c r="AG85" s="104">
        <v>-10206229776.784376</v>
      </c>
      <c r="AH85" s="104">
        <v>2158224735.2154851</v>
      </c>
      <c r="AI85" s="104">
        <v>-12364454511.999855</v>
      </c>
      <c r="AJ85" s="104">
        <v>-12364454511.999855</v>
      </c>
      <c r="AL85" s="104">
        <v>7822110749.2923155</v>
      </c>
      <c r="AM85" s="104">
        <v>354713558.55307388</v>
      </c>
      <c r="AN85" s="104">
        <v>7467397190.7392416</v>
      </c>
      <c r="AO85" s="104">
        <v>-3525699545.7422285</v>
      </c>
      <c r="AP85" s="104">
        <v>10993096736.48147</v>
      </c>
      <c r="AQ85" s="104">
        <v>-10018596417.353277</v>
      </c>
      <c r="AR85" s="104">
        <v>21011693153.834747</v>
      </c>
      <c r="AS85" s="104">
        <v>21011693153.834747</v>
      </c>
    </row>
    <row r="86" spans="1:45" ht="15" customHeight="1" x14ac:dyDescent="0.25">
      <c r="A86" s="50" t="s">
        <v>283</v>
      </c>
      <c r="B86" s="51"/>
      <c r="C86" s="97" t="s">
        <v>140</v>
      </c>
      <c r="D86" s="74"/>
      <c r="E86" s="104">
        <v>-7568325507.3666296</v>
      </c>
      <c r="F86" s="104">
        <v>-2429556792.0691872</v>
      </c>
      <c r="H86" s="105">
        <v>2077954020.4772968</v>
      </c>
      <c r="I86" s="105">
        <v>104689043.99690819</v>
      </c>
      <c r="K86" s="105">
        <v>-968920079.18318892</v>
      </c>
      <c r="L86" s="183"/>
      <c r="M86" s="183"/>
      <c r="N86" s="105">
        <v>-7568325507.3666296</v>
      </c>
      <c r="O86" s="105">
        <v>2077954020.4772968</v>
      </c>
      <c r="P86" s="105">
        <v>-9646279527.8439236</v>
      </c>
      <c r="Q86" s="105">
        <v>-968920079.18318892</v>
      </c>
      <c r="R86" s="105">
        <v>-8677359448.6607361</v>
      </c>
      <c r="S86" s="105">
        <v>-8677359448.6607361</v>
      </c>
      <c r="U86" s="105">
        <v>-1778018561.2177029</v>
      </c>
      <c r="V86" s="105">
        <v>651538230.85147095</v>
      </c>
      <c r="W86" s="105">
        <v>-2429556792.0691872</v>
      </c>
      <c r="X86" s="105">
        <v>104689043.99690819</v>
      </c>
      <c r="Y86" s="105">
        <v>-2534245836.0660973</v>
      </c>
      <c r="Z86" s="105">
        <v>-11218140441.956089</v>
      </c>
      <c r="AA86" s="105">
        <v>8683894605.8900051</v>
      </c>
      <c r="AC86" s="105">
        <v>19281229064.427052</v>
      </c>
      <c r="AD86" s="105">
        <v>11246286414.942348</v>
      </c>
      <c r="AE86" s="105">
        <v>8034942649.484724</v>
      </c>
      <c r="AF86" s="105">
        <v>3528646294.0647197</v>
      </c>
      <c r="AG86" s="105">
        <v>4506296355.4199877</v>
      </c>
      <c r="AH86" s="105">
        <v>2432155621.7499986</v>
      </c>
      <c r="AI86" s="105">
        <v>2074140733.6699939</v>
      </c>
      <c r="AJ86" s="105">
        <v>2074140733.6699939</v>
      </c>
      <c r="AL86" s="105">
        <v>-14876501277.104897</v>
      </c>
      <c r="AM86" s="105">
        <v>20759182213.819992</v>
      </c>
      <c r="AN86" s="105">
        <v>-35635683490.924889</v>
      </c>
      <c r="AO86" s="105">
        <v>-8076794910.2096596</v>
      </c>
      <c r="AP86" s="105">
        <v>-27558888580.715229</v>
      </c>
      <c r="AQ86" s="105">
        <v>-1305041263.9329834</v>
      </c>
      <c r="AR86" s="105">
        <v>-26253847316.782246</v>
      </c>
      <c r="AS86" s="105">
        <v>-26253847316.782246</v>
      </c>
    </row>
    <row r="87" spans="1:45" ht="15" customHeight="1" x14ac:dyDescent="0.25">
      <c r="A87" s="50" t="s">
        <v>284</v>
      </c>
      <c r="B87" s="51"/>
      <c r="C87" s="250" t="s">
        <v>242</v>
      </c>
      <c r="D87" s="74"/>
      <c r="E87" s="107">
        <v>49413517729.146614</v>
      </c>
      <c r="F87" s="107">
        <v>13635979625.028652</v>
      </c>
      <c r="H87" s="107">
        <v>11034921577.498703</v>
      </c>
      <c r="I87" s="107">
        <v>-2356375086.7725163</v>
      </c>
      <c r="K87" s="107">
        <v>10169101073.698837</v>
      </c>
      <c r="L87" s="183"/>
      <c r="M87" s="183"/>
      <c r="N87" s="107">
        <v>49413517729.146614</v>
      </c>
      <c r="O87" s="107">
        <v>11034921577.498703</v>
      </c>
      <c r="P87" s="107">
        <v>38378596151.647926</v>
      </c>
      <c r="Q87" s="107">
        <v>10169101073.698837</v>
      </c>
      <c r="R87" s="107">
        <v>28209495077.949097</v>
      </c>
      <c r="S87" s="107">
        <v>28209495077.949097</v>
      </c>
      <c r="U87" s="107">
        <v>32176006605.796726</v>
      </c>
      <c r="V87" s="107">
        <v>18540026980.767986</v>
      </c>
      <c r="W87" s="107">
        <v>13635979625.028652</v>
      </c>
      <c r="X87" s="107">
        <v>-2356375086.7725163</v>
      </c>
      <c r="Y87" s="107">
        <v>15992354711.801188</v>
      </c>
      <c r="Z87" s="107">
        <v>3879080016.2640438</v>
      </c>
      <c r="AA87" s="107">
        <v>12113274695.537224</v>
      </c>
      <c r="AC87" s="107">
        <v>18797308913.943134</v>
      </c>
      <c r="AD87" s="107">
        <v>13181215249.791309</v>
      </c>
      <c r="AE87" s="107">
        <v>5616093664.1518803</v>
      </c>
      <c r="AF87" s="107">
        <v>11316027085.516144</v>
      </c>
      <c r="AG87" s="107">
        <v>-5699933421.3643827</v>
      </c>
      <c r="AH87" s="107">
        <v>4590380356.9654865</v>
      </c>
      <c r="AI87" s="107">
        <v>-10290313778.329855</v>
      </c>
      <c r="AJ87" s="107">
        <v>-10290313778.329855</v>
      </c>
      <c r="AL87" s="107">
        <v>-7054390527.812603</v>
      </c>
      <c r="AM87" s="107">
        <v>21113895772.373051</v>
      </c>
      <c r="AN87" s="107">
        <v>-28168286300.185654</v>
      </c>
      <c r="AO87" s="107">
        <v>-11602494455.951887</v>
      </c>
      <c r="AP87" s="107">
        <v>-16565791844.233767</v>
      </c>
      <c r="AQ87" s="107">
        <v>-11323637681.286264</v>
      </c>
      <c r="AR87" s="107">
        <v>-5242154162.9475012</v>
      </c>
      <c r="AS87" s="107">
        <v>-5242154162.9475012</v>
      </c>
    </row>
    <row r="88" spans="1:45" ht="15" customHeight="1" x14ac:dyDescent="0.25">
      <c r="A88" s="50" t="s">
        <v>143</v>
      </c>
      <c r="B88" s="51"/>
      <c r="C88" s="250" t="s">
        <v>124</v>
      </c>
      <c r="D88" s="74"/>
      <c r="E88" s="107">
        <v>17853141436.599998</v>
      </c>
      <c r="F88" s="107">
        <v>21342530364.23</v>
      </c>
      <c r="H88" s="107">
        <v>4645168214.9100008</v>
      </c>
      <c r="I88" s="107">
        <v>5264253576.5999994</v>
      </c>
      <c r="K88" s="107">
        <v>10282504600.150002</v>
      </c>
      <c r="L88" s="183"/>
      <c r="M88" s="183"/>
      <c r="N88" s="107">
        <v>17853141436.599998</v>
      </c>
      <c r="O88" s="107">
        <v>4645168214.9100008</v>
      </c>
      <c r="P88" s="107">
        <v>13207973221.690002</v>
      </c>
      <c r="Q88" s="107">
        <v>10282504600.150002</v>
      </c>
      <c r="R88" s="107">
        <v>2925468621.5400009</v>
      </c>
      <c r="S88" s="107">
        <v>2925468621.5400009</v>
      </c>
      <c r="U88" s="107">
        <v>23267873486.099995</v>
      </c>
      <c r="V88" s="107">
        <v>1925343121.8699985</v>
      </c>
      <c r="W88" s="107">
        <v>21342530364.23</v>
      </c>
      <c r="X88" s="107">
        <v>5264253576.5999994</v>
      </c>
      <c r="Y88" s="107">
        <v>16078276787.630003</v>
      </c>
      <c r="Z88" s="107">
        <v>11586923683.800003</v>
      </c>
      <c r="AA88" s="107">
        <v>4491353103.829999</v>
      </c>
      <c r="AC88" s="107">
        <v>7023308295.9900017</v>
      </c>
      <c r="AD88" s="107">
        <v>6313022712.7099981</v>
      </c>
      <c r="AE88" s="107">
        <v>710285583.27999961</v>
      </c>
      <c r="AF88" s="107">
        <v>2411811206.2699995</v>
      </c>
      <c r="AG88" s="107">
        <v>-1701525622.990001</v>
      </c>
      <c r="AH88" s="107">
        <v>-934167499.21999919</v>
      </c>
      <c r="AI88" s="107">
        <v>-767358123.76999938</v>
      </c>
      <c r="AJ88" s="107">
        <v>-767358123.76999938</v>
      </c>
      <c r="AL88" s="107">
        <v>14039597157.120008</v>
      </c>
      <c r="AM88" s="107">
        <v>-6162141651.0099773</v>
      </c>
      <c r="AN88" s="107">
        <v>20201738808.129986</v>
      </c>
      <c r="AO88" s="107">
        <v>-1346071976.7000008</v>
      </c>
      <c r="AP88" s="107">
        <v>21547810784.829987</v>
      </c>
      <c r="AQ88" s="107">
        <v>13102231286.469986</v>
      </c>
      <c r="AR88" s="107">
        <v>8445579498.3599997</v>
      </c>
      <c r="AS88" s="107">
        <v>8445579498.3599997</v>
      </c>
    </row>
    <row r="89" spans="1:45" ht="15" customHeight="1" x14ac:dyDescent="0.25">
      <c r="A89" s="331" t="s">
        <v>292</v>
      </c>
      <c r="B89" s="51"/>
      <c r="C89" s="90" t="s">
        <v>296</v>
      </c>
      <c r="D89" s="74"/>
      <c r="E89" s="92">
        <v>-617576376.74813557</v>
      </c>
      <c r="F89" s="92">
        <v>0</v>
      </c>
      <c r="H89" s="92">
        <v>-592446026.76021588</v>
      </c>
      <c r="I89" s="92">
        <v>0</v>
      </c>
      <c r="K89" s="107">
        <v>-25130349.987919461</v>
      </c>
      <c r="L89" s="183"/>
      <c r="M89" s="183"/>
      <c r="N89" s="92">
        <v>-617576376.74813557</v>
      </c>
      <c r="O89" s="92">
        <v>-592446026.76021588</v>
      </c>
      <c r="P89" s="92">
        <v>-25130349.987919461</v>
      </c>
      <c r="Q89" s="92">
        <v>-25130349.987919461</v>
      </c>
      <c r="R89" s="92">
        <v>0</v>
      </c>
      <c r="S89" s="92">
        <v>0</v>
      </c>
      <c r="U89" s="92">
        <v>0</v>
      </c>
      <c r="V89" s="92">
        <v>0</v>
      </c>
      <c r="W89" s="92">
        <v>0</v>
      </c>
      <c r="X89" s="92">
        <v>0</v>
      </c>
      <c r="Y89" s="92">
        <v>0</v>
      </c>
      <c r="Z89" s="92">
        <v>0</v>
      </c>
      <c r="AA89" s="92">
        <v>0</v>
      </c>
      <c r="AC89" s="92">
        <v>0</v>
      </c>
      <c r="AD89" s="92">
        <v>0</v>
      </c>
      <c r="AE89" s="92">
        <v>0</v>
      </c>
      <c r="AF89" s="92">
        <v>0</v>
      </c>
      <c r="AG89" s="92">
        <v>0</v>
      </c>
      <c r="AH89" s="92">
        <v>0</v>
      </c>
      <c r="AI89" s="92">
        <v>0</v>
      </c>
      <c r="AJ89" s="107">
        <v>0</v>
      </c>
      <c r="AL89" s="92" t="s">
        <v>331</v>
      </c>
      <c r="AM89" s="92" t="s">
        <v>331</v>
      </c>
      <c r="AN89" s="92" t="s">
        <v>331</v>
      </c>
      <c r="AO89" s="92" t="s">
        <v>331</v>
      </c>
      <c r="AP89" s="92" t="s">
        <v>331</v>
      </c>
      <c r="AQ89" s="92" t="s">
        <v>331</v>
      </c>
      <c r="AR89" s="92" t="s">
        <v>331</v>
      </c>
      <c r="AS89" s="107">
        <v>0</v>
      </c>
    </row>
    <row r="90" spans="1:45" ht="18" customHeight="1" x14ac:dyDescent="0.25">
      <c r="A90" s="50" t="s">
        <v>130</v>
      </c>
      <c r="B90" s="51"/>
      <c r="C90" s="262" t="s">
        <v>130</v>
      </c>
      <c r="D90" s="74"/>
      <c r="E90" s="252">
        <v>66649082788.998474</v>
      </c>
      <c r="F90" s="252">
        <v>34978509989.258652</v>
      </c>
      <c r="H90" s="252">
        <v>15087643765.648487</v>
      </c>
      <c r="I90" s="252">
        <v>2907878489.8274832</v>
      </c>
      <c r="K90" s="252">
        <v>20426475323.86092</v>
      </c>
      <c r="L90" s="184"/>
      <c r="M90" s="184"/>
      <c r="N90" s="252">
        <v>66649082788.998474</v>
      </c>
      <c r="O90" s="252">
        <v>15087643765.648487</v>
      </c>
      <c r="P90" s="252">
        <v>51561439023.350006</v>
      </c>
      <c r="Q90" s="252">
        <v>20426475323.86092</v>
      </c>
      <c r="R90" s="252">
        <v>31134963699.489098</v>
      </c>
      <c r="S90" s="252">
        <v>31134963699.489098</v>
      </c>
      <c r="U90" s="252">
        <v>55443880091.896721</v>
      </c>
      <c r="V90" s="252">
        <v>20465370102.637985</v>
      </c>
      <c r="W90" s="252">
        <v>34978509989.258652</v>
      </c>
      <c r="X90" s="252">
        <v>2907878489.8274832</v>
      </c>
      <c r="Y90" s="252">
        <v>32070631499.43119</v>
      </c>
      <c r="Z90" s="252">
        <v>15466003700.064047</v>
      </c>
      <c r="AA90" s="252">
        <v>16604627799.367222</v>
      </c>
      <c r="AC90" s="252">
        <v>25820617209.933136</v>
      </c>
      <c r="AD90" s="252">
        <v>19494237962.501308</v>
      </c>
      <c r="AE90" s="252">
        <v>6326379247.43188</v>
      </c>
      <c r="AF90" s="252">
        <v>13727838291.786144</v>
      </c>
      <c r="AG90" s="252">
        <v>-7401459044.3543835</v>
      </c>
      <c r="AH90" s="252">
        <v>3656212857.7454872</v>
      </c>
      <c r="AI90" s="252">
        <v>-11057671902.099854</v>
      </c>
      <c r="AJ90" s="252">
        <v>-11057671902.099854</v>
      </c>
      <c r="AL90" s="252">
        <v>6985206629.3074055</v>
      </c>
      <c r="AM90" s="252">
        <v>14951754121.363073</v>
      </c>
      <c r="AN90" s="252">
        <v>-7966547492.0556679</v>
      </c>
      <c r="AO90" s="252">
        <v>-12948566432.651888</v>
      </c>
      <c r="AP90" s="252">
        <v>4982018940.59622</v>
      </c>
      <c r="AQ90" s="252">
        <v>1778593605.1837215</v>
      </c>
      <c r="AR90" s="252">
        <v>3203425335.4124985</v>
      </c>
      <c r="AS90" s="252">
        <v>3203425335.4124985</v>
      </c>
    </row>
    <row r="91" spans="1:45" x14ac:dyDescent="0.2">
      <c r="A91" s="50" t="s">
        <v>144</v>
      </c>
      <c r="B91" s="51"/>
      <c r="C91" s="263" t="s">
        <v>141</v>
      </c>
      <c r="D91" s="253"/>
      <c r="E91" s="264">
        <v>68746756664.180359</v>
      </c>
      <c r="F91" s="264">
        <v>34901801852.20787</v>
      </c>
      <c r="G91" s="1"/>
      <c r="H91" s="264">
        <v>12486084895.025694</v>
      </c>
      <c r="I91" s="264">
        <v>3428627390.8405781</v>
      </c>
      <c r="J91" s="1"/>
      <c r="K91" s="264">
        <v>16511651508.814919</v>
      </c>
      <c r="L91" s="254"/>
      <c r="M91" s="254"/>
      <c r="N91" s="264">
        <v>68746756664.180359</v>
      </c>
      <c r="O91" s="264">
        <v>12486084895.025694</v>
      </c>
      <c r="P91" s="264">
        <v>56260671769.154724</v>
      </c>
      <c r="Q91" s="264">
        <v>16511651508.814919</v>
      </c>
      <c r="R91" s="264">
        <v>39749020260.339798</v>
      </c>
      <c r="S91" s="264">
        <v>39749020260.339798</v>
      </c>
      <c r="T91" s="1"/>
      <c r="U91" s="264">
        <v>55972115970.634415</v>
      </c>
      <c r="V91" s="264">
        <v>21070314118.42651</v>
      </c>
      <c r="W91" s="264">
        <v>34901801852.20787</v>
      </c>
      <c r="X91" s="264">
        <v>3428627390.8405781</v>
      </c>
      <c r="Y91" s="264">
        <v>31473174461.36729</v>
      </c>
      <c r="Z91" s="264">
        <v>23726435067.890133</v>
      </c>
      <c r="AA91" s="264">
        <v>7746739393.4772224</v>
      </c>
      <c r="AB91" s="1"/>
      <c r="AC91" s="264">
        <v>6150221376.2260656</v>
      </c>
      <c r="AD91" s="264">
        <v>6897498963.8390055</v>
      </c>
      <c r="AE91" s="264">
        <v>-747277587.61290836</v>
      </c>
      <c r="AF91" s="264">
        <v>11276154436.231462</v>
      </c>
      <c r="AG91" s="264">
        <v>-12023432023.844372</v>
      </c>
      <c r="AH91" s="264">
        <v>-696449448.96452141</v>
      </c>
      <c r="AI91" s="264">
        <v>-11326982574.879837</v>
      </c>
      <c r="AJ91" s="264">
        <v>-11326982574.879837</v>
      </c>
      <c r="AK91" s="1"/>
      <c r="AL91" s="264">
        <v>26121774110.282272</v>
      </c>
      <c r="AM91" s="264">
        <v>-3764518561.6869431</v>
      </c>
      <c r="AN91" s="264">
        <v>29886292671.969215</v>
      </c>
      <c r="AO91" s="264">
        <v>-1531622878.3617172</v>
      </c>
      <c r="AP91" s="264">
        <v>31417915550.330933</v>
      </c>
      <c r="AQ91" s="264">
        <v>1178230557.3261948</v>
      </c>
      <c r="AR91" s="264">
        <v>30239684993.004738</v>
      </c>
      <c r="AS91" s="264">
        <v>30239684993.004738</v>
      </c>
    </row>
    <row r="92" spans="1:45" x14ac:dyDescent="0.2">
      <c r="A92" s="50" t="s">
        <v>145</v>
      </c>
      <c r="B92" s="51"/>
      <c r="C92" s="263" t="s">
        <v>142</v>
      </c>
      <c r="D92" s="253"/>
      <c r="E92" s="264">
        <v>-2097673875.181942</v>
      </c>
      <c r="F92" s="264">
        <v>76708137.050823748</v>
      </c>
      <c r="G92" s="1"/>
      <c r="H92" s="264">
        <v>2601558870.622798</v>
      </c>
      <c r="I92" s="264">
        <v>-520748901.01309222</v>
      </c>
      <c r="J92" s="1"/>
      <c r="K92" s="264">
        <v>3914823815.0459909</v>
      </c>
      <c r="L92" s="254"/>
      <c r="M92" s="254"/>
      <c r="N92" s="264">
        <v>-2097673875.181942</v>
      </c>
      <c r="O92" s="264">
        <v>2601558870.622798</v>
      </c>
      <c r="P92" s="264">
        <v>-4699232745.8047409</v>
      </c>
      <c r="Q92" s="264">
        <v>3914823815.0459909</v>
      </c>
      <c r="R92" s="264">
        <v>-8614056560.8507404</v>
      </c>
      <c r="S92" s="264">
        <v>-8614056560.8507404</v>
      </c>
      <c r="T92" s="1"/>
      <c r="U92" s="264">
        <v>-528235878.73770738</v>
      </c>
      <c r="V92" s="264">
        <v>-604944015.78852725</v>
      </c>
      <c r="W92" s="264">
        <v>76708137.050823748</v>
      </c>
      <c r="X92" s="264">
        <v>-520748901.01309222</v>
      </c>
      <c r="Y92" s="264">
        <v>597457038.06390262</v>
      </c>
      <c r="Z92" s="264">
        <v>-8260431367.826088</v>
      </c>
      <c r="AA92" s="264">
        <v>8857888405.8899994</v>
      </c>
      <c r="AB92" s="1"/>
      <c r="AC92" s="264">
        <v>19670395833.707073</v>
      </c>
      <c r="AD92" s="264">
        <v>12596738998.66234</v>
      </c>
      <c r="AE92" s="264">
        <v>7073656835.0447283</v>
      </c>
      <c r="AF92" s="264">
        <v>2451683855.554719</v>
      </c>
      <c r="AG92" s="264">
        <v>4621972979.4899921</v>
      </c>
      <c r="AH92" s="264">
        <v>4352662306.71</v>
      </c>
      <c r="AI92" s="264">
        <v>269310672.7799949</v>
      </c>
      <c r="AJ92" s="264">
        <v>269310672.7799949</v>
      </c>
      <c r="AK92" s="1"/>
      <c r="AL92" s="264">
        <v>-19136567480.974895</v>
      </c>
      <c r="AM92" s="264">
        <v>18716272683.049969</v>
      </c>
      <c r="AN92" s="264">
        <v>-37852840164.024864</v>
      </c>
      <c r="AO92" s="264">
        <v>-11416943554.290169</v>
      </c>
      <c r="AP92" s="264">
        <v>-26435896609.734695</v>
      </c>
      <c r="AQ92" s="264">
        <v>600363047.8575592</v>
      </c>
      <c r="AR92" s="264">
        <v>-27036259657.592255</v>
      </c>
      <c r="AS92" s="264">
        <v>-27036259657.592255</v>
      </c>
    </row>
    <row r="93" spans="1:45" hidden="1" outlineLevel="1" x14ac:dyDescent="0.2">
      <c r="A93" s="236"/>
      <c r="B93" s="2"/>
      <c r="C93" s="63"/>
      <c r="D93" s="74"/>
      <c r="E93" s="272">
        <f>ROUND(E90-SUM(E74,E78,E79,E82,E86,E88,E89)+E87-(E74+E78+E79+E82+E86)+E90-(E91+E92)+E85-(E74+E78+E79+E82),3)</f>
        <v>0</v>
      </c>
      <c r="F93" s="272">
        <f>ROUND(F90-SUM(F74,F78,F79,F82,F86,F88,F89)+F87-(F74+F78+F79+F82+F86)+F90-(F91+F92)+F85-(F74+F78+F79+F82),3)</f>
        <v>0</v>
      </c>
      <c r="H93" s="272">
        <f>ROUND(H90-SUM(H74,H78,H79,H82,H86,H88,H89)+H87-(H74+H78+H79+H82+H86)+H90-(H91+H92)+H85-(H74+H78+H79+H82),3)</f>
        <v>0</v>
      </c>
      <c r="I93" s="272">
        <f>ROUND(I90-SUM(I74,I78,I79,I82,I86,I88,I89)+I87-(I74+I78+I79+I82+I86)+I90-(I91+I92)+I85-(I74+I78+I79+I82),3)</f>
        <v>0</v>
      </c>
      <c r="K93" s="272">
        <f>ROUND(K90-SUM(K74,K78,K79,K82,K86,K88)+K87-(K74+K78+K79+K82+K86)+K90-(K91+K92)+K85-(K74+K78+K79+K82),3)</f>
        <v>-25130349.988000002</v>
      </c>
      <c r="N93" s="272">
        <f>ROUND(N90-SUM(N74,N78,N79,N82,N86,N88,N89)+N87-(N74+N78+N79+N82+N86)+N90-(N91+N92)+N85-(N74+N78+N79+N82),3)</f>
        <v>0</v>
      </c>
      <c r="O93" s="272">
        <f>ROUND(O90-SUM(O74,O78,O79,O82,O86,O88,O89)+O87-(O74+O78+O79+O82+O86)+O90-(O91+O92)+O85-(O74+O78+O79+O82),3)</f>
        <v>0</v>
      </c>
      <c r="P93" s="272">
        <f>ROUND(P90-SUM(P74,P78,P79,P82,P86,P88,P89)+P87-(P74+P78+P79+P82+P86)+P90-(P91+P92)+P85-(P74+P78+P79+P82),3)</f>
        <v>0</v>
      </c>
      <c r="Q93" s="272">
        <f t="shared" ref="Q93" si="65">ROUND(Q90-SUM(Q74,Q78,Q79,Q82,Q86,Q88,Q89)+Q87-(Q74+Q78+Q79+Q82+Q86)+Q90-(Q91+Q92)+Q85-(Q74+Q78+Q79+Q82),3)</f>
        <v>0</v>
      </c>
      <c r="R93" s="272">
        <f t="shared" ref="R93:Y93" si="66">ROUND(R90-SUM(R74,R78,R79,R82,R86,R88,R89)+R87-(R74+R78+R79+R82+R86)+R90-(R91+R92)+R85-(R74+R78+R79+R82),3)</f>
        <v>0</v>
      </c>
      <c r="S93" s="272">
        <f t="shared" si="66"/>
        <v>0</v>
      </c>
      <c r="U93" s="272">
        <f t="shared" si="66"/>
        <v>0</v>
      </c>
      <c r="V93" s="272">
        <f t="shared" si="66"/>
        <v>0</v>
      </c>
      <c r="W93" s="272">
        <f t="shared" si="66"/>
        <v>0</v>
      </c>
      <c r="X93" s="272">
        <f t="shared" si="66"/>
        <v>0</v>
      </c>
      <c r="Y93" s="272">
        <f t="shared" si="66"/>
        <v>0</v>
      </c>
      <c r="Z93" s="272">
        <f t="shared" ref="Z93:AA93" si="67">ROUND(Z90-SUM(Z74,Z78,Z79,Z82,Z86,Z88,Z89)+Z87-(Z74+Z78+Z79+Z82+Z86)+Z90-(Z91+Z92)+Z85-(Z74+Z78+Z79+Z82),3)</f>
        <v>0</v>
      </c>
      <c r="AA93" s="272">
        <f t="shared" si="67"/>
        <v>0</v>
      </c>
      <c r="AC93" s="272">
        <f t="shared" ref="AC93:AI93" si="68">ROUND(AC90-SUM(AC74,AC78,AC79,AC82,AC86,AC88,AC89)+AC87-(AC74+AC78+AC79+AC82+AC86)+AC90-(AC91+AC92)+AC85-(AC74+AC78+AC79+AC82),3)</f>
        <v>0</v>
      </c>
      <c r="AD93" s="272">
        <f t="shared" si="68"/>
        <v>0</v>
      </c>
      <c r="AE93" s="272">
        <f t="shared" si="68"/>
        <v>0</v>
      </c>
      <c r="AF93" s="272">
        <f t="shared" si="68"/>
        <v>0</v>
      </c>
      <c r="AG93" s="272">
        <f t="shared" si="68"/>
        <v>0</v>
      </c>
      <c r="AH93" s="272">
        <f t="shared" si="68"/>
        <v>0</v>
      </c>
      <c r="AI93" s="272">
        <f t="shared" si="68"/>
        <v>0</v>
      </c>
      <c r="AJ93" s="272">
        <f t="shared" ref="AJ93" si="69">ROUND(AJ90-SUM(AJ74,AJ78,AJ79,AJ82,AJ86,AJ88)+AJ87-(AJ74+AJ78+AJ79+AJ82+AJ86)+AJ90-(AJ91+AJ92)+AJ85-(AJ74+AJ78+AJ79+AJ82),3)</f>
        <v>0</v>
      </c>
      <c r="AL93" s="272">
        <f t="shared" ref="AL93:AR93" si="70">ROUND(AL90-SUM(AL74,AL78,AL79,AL82,AL86,AL88,AL89)+AL87-(AL74+AL78+AL79+AL82+AL86)+AL90-(AL91+AL92)+AL85-(AL74+AL78+AL79+AL82),3)</f>
        <v>0</v>
      </c>
      <c r="AM93" s="272">
        <f t="shared" si="70"/>
        <v>0</v>
      </c>
      <c r="AN93" s="272">
        <f t="shared" si="70"/>
        <v>0</v>
      </c>
      <c r="AO93" s="272">
        <f t="shared" si="70"/>
        <v>0</v>
      </c>
      <c r="AP93" s="272">
        <f t="shared" si="70"/>
        <v>0</v>
      </c>
      <c r="AQ93" s="272">
        <f t="shared" si="70"/>
        <v>0</v>
      </c>
      <c r="AR93" s="272">
        <f t="shared" si="70"/>
        <v>0</v>
      </c>
      <c r="AS93" s="272">
        <f t="shared" ref="AS93" si="71">ROUND(AS90-SUM(AS74,AS78,AS79,AS82,AS86,AS88)+AS87-(AS74+AS78+AS79+AS82+AS86)+AS90-(AS91+AS92)+AS85-(AS74+AS78+AS79+AS82),3)</f>
        <v>0</v>
      </c>
    </row>
    <row r="94" spans="1:45" ht="12" collapsed="1" x14ac:dyDescent="0.2">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K94" s="59"/>
      <c r="AL94" s="59"/>
      <c r="AM94" s="59"/>
      <c r="AN94" s="59"/>
      <c r="AO94" s="59"/>
      <c r="AP94" s="59"/>
      <c r="AQ94" s="59"/>
    </row>
    <row r="95" spans="1:45" ht="12" x14ac:dyDescent="0.2">
      <c r="B95" s="1"/>
      <c r="C95" s="347" t="s">
        <v>308</v>
      </c>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K95" s="59"/>
      <c r="AL95" s="59"/>
      <c r="AM95" s="59"/>
      <c r="AN95" s="59"/>
      <c r="AO95" s="59"/>
      <c r="AP95" s="59"/>
      <c r="AQ95" s="59"/>
    </row>
  </sheetData>
  <pageMargins left="0.39370078740157483" right="0.39370078740157483" top="0.39370078740157483" bottom="0.59055118110236227" header="0.31496062992125984" footer="0.19685039370078741"/>
  <pageSetup paperSize="9" scale="59" orientation="landscape" verticalDpi="0" r:id="rId1"/>
  <headerFooter>
    <oddFooter>&amp;L&amp;"Arial Black,Normal"&amp;F - &amp;A&amp;C&amp;"Arial Black,Normal"&amp;8p. &amp;P / &amp;N&amp;R&amp;"Arial Narrow,Normal"&amp;8&amp;G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B89A7-89BF-4C1C-A6FC-F27A10506436}">
  <sheetPr>
    <pageSetUpPr fitToPage="1"/>
  </sheetPr>
  <dimension ref="A1:AT28"/>
  <sheetViews>
    <sheetView showGridLines="0" tabSelected="1" topLeftCell="A5" zoomScale="80" zoomScaleNormal="80" workbookViewId="0">
      <pane xSplit="4" topLeftCell="I1" activePane="topRight" state="frozen"/>
      <selection activeCell="B30" sqref="B30"/>
      <selection pane="topRight" activeCell="Q36" sqref="Q36"/>
    </sheetView>
  </sheetViews>
  <sheetFormatPr baseColWidth="10" defaultColWidth="9.125" defaultRowHeight="11.4" outlineLevelRow="1" outlineLevelCol="1" x14ac:dyDescent="0.2"/>
  <cols>
    <col min="1" max="1" width="25.75" hidden="1" customWidth="1" outlineLevel="1"/>
    <col min="2" max="2" width="2.75" customWidth="1" collapsed="1"/>
    <col min="3" max="3" width="45.625" customWidth="1"/>
    <col min="4" max="4" width="2.75" style="85" customWidth="1"/>
    <col min="5" max="9" width="10.625" customWidth="1"/>
    <col min="10" max="10" width="2.75" customWidth="1"/>
    <col min="11" max="12" width="10.625" hidden="1" customWidth="1"/>
    <col min="13" max="18" width="10.75" customWidth="1"/>
    <col min="19" max="19" width="9.625" hidden="1" customWidth="1"/>
    <col min="20" max="20" width="2.75" customWidth="1"/>
    <col min="21" max="21" width="10.75" customWidth="1"/>
    <col min="22" max="22" width="10.75" customWidth="1" outlineLevel="1"/>
    <col min="23" max="23" width="10.75" customWidth="1"/>
    <col min="24" max="24" width="10.75" customWidth="1" outlineLevel="1"/>
    <col min="25" max="25" width="10.75" customWidth="1"/>
    <col min="26" max="26" width="10.75" customWidth="1" outlineLevel="1"/>
    <col min="27" max="27" width="10.75" customWidth="1"/>
    <col min="28" max="28" width="2.75" customWidth="1"/>
    <col min="29" max="35" width="10.75" customWidth="1"/>
    <col min="36" max="36" width="9.625" hidden="1" customWidth="1" outlineLevel="1"/>
    <col min="37" max="37" width="2.75" customWidth="1" collapsed="1"/>
    <col min="38" max="44" width="10.75" customWidth="1"/>
    <col min="45" max="45" width="9.625" hidden="1" customWidth="1" outlineLevel="1"/>
    <col min="46" max="46" width="9.625" customWidth="1" collapsed="1"/>
  </cols>
  <sheetData>
    <row r="1" spans="1:45" hidden="1" outlineLevel="1" x14ac:dyDescent="0.2">
      <c r="C1" s="50" t="s">
        <v>174</v>
      </c>
      <c r="D1" s="246"/>
      <c r="E1" s="247">
        <f>DateRef</f>
        <v>45930</v>
      </c>
      <c r="F1" s="247">
        <f>EOMONTH($E$1,-12)</f>
        <v>45565</v>
      </c>
      <c r="G1" s="248"/>
      <c r="H1" s="247">
        <f>EOMONTH($E$1,-3)</f>
        <v>45838</v>
      </c>
      <c r="I1" s="247"/>
      <c r="K1" s="247">
        <f>EOMONTH($E$1,-MONTH($E$1))</f>
        <v>45657</v>
      </c>
      <c r="L1" s="11"/>
      <c r="M1" s="11"/>
      <c r="N1" s="247">
        <f>DateRef</f>
        <v>45930</v>
      </c>
      <c r="O1" s="247"/>
      <c r="P1" s="247">
        <f>EOMONTH(N1,-3)</f>
        <v>45838</v>
      </c>
      <c r="Q1" s="247"/>
      <c r="R1" s="247">
        <f>EOMONTH(P1,-3)</f>
        <v>45747</v>
      </c>
      <c r="S1" s="247"/>
      <c r="T1" s="232"/>
      <c r="U1" s="247">
        <f>EOMONTH(R1,-3)</f>
        <v>45657</v>
      </c>
      <c r="V1" s="247"/>
      <c r="W1" s="247">
        <f>EOMONTH(U1,-3)</f>
        <v>45565</v>
      </c>
      <c r="X1" s="247"/>
      <c r="Y1" s="247">
        <f>EOMONTH(W1,-3)</f>
        <v>45473</v>
      </c>
      <c r="Z1" s="247"/>
      <c r="AA1" s="247">
        <f>EOMONTH(Y1,-3)</f>
        <v>45382</v>
      </c>
      <c r="AB1" s="232"/>
      <c r="AC1" s="247">
        <v>45291</v>
      </c>
      <c r="AD1" s="247"/>
      <c r="AE1" s="247">
        <f t="shared" ref="AE1" si="0">EOMONTH(AC1,-3)</f>
        <v>45199</v>
      </c>
      <c r="AF1" s="247"/>
      <c r="AG1" s="247">
        <f t="shared" ref="AG1" si="1">EOMONTH(AE1,-3)</f>
        <v>45107</v>
      </c>
      <c r="AH1" s="247"/>
      <c r="AI1" s="247">
        <f t="shared" ref="AI1" si="2">EOMONTH(AG1,-3)</f>
        <v>45016</v>
      </c>
      <c r="AJ1" s="247"/>
      <c r="AK1" s="232"/>
      <c r="AL1" s="247">
        <f>EOMONTH(AI1,-3)</f>
        <v>44926</v>
      </c>
      <c r="AM1" s="247"/>
      <c r="AN1" s="247">
        <f t="shared" ref="AN1" si="3">EOMONTH(AL1,-3)</f>
        <v>44834</v>
      </c>
      <c r="AO1" s="247"/>
      <c r="AP1" s="247">
        <f t="shared" ref="AP1" si="4">EOMONTH(AN1,-3)</f>
        <v>44742</v>
      </c>
      <c r="AQ1" s="247"/>
      <c r="AR1" s="247">
        <f t="shared" ref="AR1" si="5">EOMONTH(AP1,-3)</f>
        <v>44651</v>
      </c>
      <c r="AS1" s="247"/>
    </row>
    <row r="2" spans="1:45" hidden="1" outlineLevel="1" x14ac:dyDescent="0.2">
      <c r="C2" s="50" t="s">
        <v>171</v>
      </c>
      <c r="D2" s="249">
        <v>45565</v>
      </c>
      <c r="E2" s="11" t="str">
        <f>DateYtd</f>
        <v>2025Sep</v>
      </c>
      <c r="F2" s="11" t="str" cm="1">
        <f t="array" ref="F2">YEAR(EOMONTH(DateRef,-12))&amp;INDEX(TableYtd,MONTH(EOMONTH(DateRef,-12)),1)</f>
        <v>2024Sep</v>
      </c>
      <c r="G2" s="248"/>
      <c r="H2" s="11" t="str" cm="1">
        <f t="array" ref="H2">YEAR(EOMONTH(DateRef,-3))&amp;INDEX(TableYtd,MONTH(EOMONTH(DateRef,-3)),1)</f>
        <v>2025Jun</v>
      </c>
      <c r="I2" s="248"/>
      <c r="K2" s="11" t="str" cm="1">
        <f t="array" ref="K2">YEAR(EOMONTH(DateRef,-MONTH(DateRef)))&amp;INDEX(TableYtd,MONTH(EOMONTH(DateRef,-MONTH(DateRef))),1)</f>
        <v>2024Dec</v>
      </c>
      <c r="L2" s="11"/>
      <c r="M2" s="11"/>
      <c r="N2" s="11" t="str">
        <f>DateYtd</f>
        <v>2025Sep</v>
      </c>
      <c r="O2" s="232"/>
      <c r="P2" s="11" t="str" cm="1">
        <f t="array" ref="P2">YEAR(P1)&amp;INDEX(TableYtd,MONTH(P1),1)</f>
        <v>2025Jun</v>
      </c>
      <c r="Q2" s="232"/>
      <c r="R2" s="11" t="str" cm="1">
        <f t="array" ref="R2">YEAR(R1)&amp;INDEX(TableYtd,MONTH(R1),1)</f>
        <v>2025Mar</v>
      </c>
      <c r="S2" s="232"/>
      <c r="T2" s="232"/>
      <c r="U2" s="11" t="str" cm="1">
        <f t="array" ref="U2">YEAR(U1)&amp;INDEX(TableYtd,MONTH(U1),1)</f>
        <v>2024Dec</v>
      </c>
      <c r="V2" s="232"/>
      <c r="W2" s="11" t="str" cm="1">
        <f t="array" ref="W2">YEAR(W1)&amp;INDEX(TableYtd,MONTH(W1),1)</f>
        <v>2024Sep</v>
      </c>
      <c r="X2" s="232"/>
      <c r="Y2" s="11" t="str" cm="1">
        <f t="array" ref="Y2">YEAR(Y1)&amp;INDEX(TableYtd,MONTH(Y1),1)</f>
        <v>2024Jun</v>
      </c>
      <c r="Z2" s="232"/>
      <c r="AA2" s="11" t="str" cm="1">
        <f t="array" ref="AA2">YEAR(AA1)&amp;INDEX(TableYtd,MONTH(AA1),1)</f>
        <v>2024Mar</v>
      </c>
      <c r="AB2" s="232"/>
      <c r="AC2" s="11" t="str" cm="1">
        <f t="array" ref="AC2">YEAR(AC1)&amp;INDEX(TableYtd,MONTH(AC1),1)</f>
        <v>2023Dec</v>
      </c>
      <c r="AD2" s="232"/>
      <c r="AE2" s="11" t="str" cm="1">
        <f t="array" ref="AE2">YEAR(AE1)&amp;INDEX(TableYtd,MONTH(AE1),1)</f>
        <v>2023Sep</v>
      </c>
      <c r="AF2" s="232"/>
      <c r="AG2" s="11" t="str" cm="1">
        <f t="array" ref="AG2">YEAR(AG1)&amp;INDEX(TableYtd,MONTH(AG1),1)</f>
        <v>2023Jun</v>
      </c>
      <c r="AH2" s="232"/>
      <c r="AI2" s="11" t="str" cm="1">
        <f t="array" ref="AI2">YEAR(AI1)&amp;INDEX(TableYtd,MONTH(AI1),1)</f>
        <v>2023Mar</v>
      </c>
      <c r="AJ2" s="232"/>
      <c r="AK2" s="232"/>
      <c r="AL2" s="11" t="str" cm="1">
        <f t="array" ref="AL2">YEAR(AL1)&amp;INDEX(TableYtd,MONTH(AL1),1)</f>
        <v>2022Dec</v>
      </c>
      <c r="AM2" s="232"/>
      <c r="AN2" s="11" t="str" cm="1">
        <f t="array" ref="AN2">YEAR(AN1)&amp;INDEX(TableYtd,MONTH(AN1),1)</f>
        <v>2022Sep</v>
      </c>
      <c r="AO2" s="232"/>
      <c r="AP2" s="11" t="str" cm="1">
        <f t="array" ref="AP2">YEAR(AP1)&amp;INDEX(TableYtd,MONTH(AP1),1)</f>
        <v>2022Jun</v>
      </c>
      <c r="AQ2" s="232"/>
      <c r="AR2" s="11" t="str" cm="1">
        <f t="array" ref="AR2">YEAR(AR1)&amp;INDEX(TableYtd,MONTH(AR1),1)</f>
        <v>2022Mar</v>
      </c>
      <c r="AS2" s="232"/>
    </row>
    <row r="3" spans="1:45" hidden="1" outlineLevel="1" x14ac:dyDescent="0.2">
      <c r="C3" s="50" t="s">
        <v>186</v>
      </c>
      <c r="D3" s="246"/>
      <c r="E3" s="247">
        <f>DateRef</f>
        <v>45930</v>
      </c>
      <c r="F3" s="247">
        <f>EOMONTH($E$1,-12)</f>
        <v>45565</v>
      </c>
      <c r="G3" s="248"/>
      <c r="H3" s="247">
        <f>DateRef</f>
        <v>45930</v>
      </c>
      <c r="I3" s="247">
        <f>EOMONTH(H3,-12)</f>
        <v>45565</v>
      </c>
      <c r="K3" s="247">
        <f>EOMONTH(H3,-3)</f>
        <v>45838</v>
      </c>
      <c r="M3" s="11"/>
      <c r="N3" s="247">
        <f>DateRef</f>
        <v>45930</v>
      </c>
      <c r="O3" s="247">
        <f>N3</f>
        <v>45930</v>
      </c>
      <c r="P3" s="247">
        <f>EOMONTH(N3,-3)</f>
        <v>45838</v>
      </c>
      <c r="Q3" s="247">
        <f>P3</f>
        <v>45838</v>
      </c>
      <c r="R3" s="247">
        <f>EOMONTH(P3,-3)</f>
        <v>45747</v>
      </c>
      <c r="S3" s="247">
        <f>R3</f>
        <v>45747</v>
      </c>
      <c r="T3" s="232"/>
      <c r="U3" s="247">
        <f>EOMONTH(R3,-3)</f>
        <v>45657</v>
      </c>
      <c r="V3" s="247">
        <f>U3</f>
        <v>45657</v>
      </c>
      <c r="W3" s="247">
        <f>EOMONTH(U3,-3)</f>
        <v>45565</v>
      </c>
      <c r="X3" s="247">
        <f>W3</f>
        <v>45565</v>
      </c>
      <c r="Y3" s="247">
        <f>EOMONTH(W3,-3)</f>
        <v>45473</v>
      </c>
      <c r="Z3" s="247">
        <f>Y3</f>
        <v>45473</v>
      </c>
      <c r="AA3" s="247">
        <f>EOMONTH(Y3,-3)</f>
        <v>45382</v>
      </c>
      <c r="AB3" s="232"/>
      <c r="AC3" s="247">
        <f>AC1</f>
        <v>45291</v>
      </c>
      <c r="AD3" s="247">
        <f t="shared" ref="AD3" si="6">AC3</f>
        <v>45291</v>
      </c>
      <c r="AE3" s="247">
        <f t="shared" ref="AE3" si="7">EOMONTH(AC3,-3)</f>
        <v>45199</v>
      </c>
      <c r="AF3" s="247">
        <f t="shared" ref="AF3" si="8">AE3</f>
        <v>45199</v>
      </c>
      <c r="AG3" s="247">
        <f t="shared" ref="AG3" si="9">EOMONTH(AE3,-3)</f>
        <v>45107</v>
      </c>
      <c r="AH3" s="247">
        <f t="shared" ref="AH3" si="10">AG3</f>
        <v>45107</v>
      </c>
      <c r="AI3" s="247">
        <f t="shared" ref="AI3" si="11">EOMONTH(AG3,-3)</f>
        <v>45016</v>
      </c>
      <c r="AJ3" s="247">
        <f t="shared" ref="AJ3" si="12">AI3</f>
        <v>45016</v>
      </c>
      <c r="AK3" s="232"/>
      <c r="AL3" s="247">
        <f>EOMONTH(AI3,-3)</f>
        <v>44926</v>
      </c>
      <c r="AM3" s="247">
        <f t="shared" ref="AM3" si="13">AL3</f>
        <v>44926</v>
      </c>
      <c r="AN3" s="247">
        <f t="shared" ref="AN3" si="14">EOMONTH(AL3,-3)</f>
        <v>44834</v>
      </c>
      <c r="AO3" s="247">
        <f t="shared" ref="AO3" si="15">AN3</f>
        <v>44834</v>
      </c>
      <c r="AP3" s="247">
        <f t="shared" ref="AP3" si="16">EOMONTH(AN3,-3)</f>
        <v>44742</v>
      </c>
      <c r="AQ3" s="247">
        <f t="shared" ref="AQ3" si="17">AP3</f>
        <v>44742</v>
      </c>
      <c r="AR3" s="247">
        <f t="shared" ref="AR3" si="18">EOMONTH(AP3,-3)</f>
        <v>44651</v>
      </c>
      <c r="AS3" s="247">
        <f t="shared" ref="AS3" si="19">AR3</f>
        <v>44651</v>
      </c>
    </row>
    <row r="4" spans="1:45" hidden="1" outlineLevel="1" x14ac:dyDescent="0.2">
      <c r="C4" s="50" t="s">
        <v>172</v>
      </c>
      <c r="D4" s="246"/>
      <c r="E4" s="11" t="str">
        <f>DateYtd</f>
        <v>2025Sep</v>
      </c>
      <c r="F4" s="11" t="str" cm="1">
        <f t="array" ref="F4">YEAR(EOMONTH(DateRef,-12))&amp;INDEX(TableYtd,MONTH(EOMONTH(DateRef,-12)),1)</f>
        <v>2024Sep</v>
      </c>
      <c r="G4" s="248"/>
      <c r="H4" s="11" t="str">
        <f>DateQ</f>
        <v>2025Q3</v>
      </c>
      <c r="I4" s="11" t="str">
        <f>YEAR(I$3)&amp;"Q"&amp;MONTH(I$3)/3</f>
        <v>2024Q3</v>
      </c>
      <c r="K4" s="11" t="str">
        <f>YEAR(K$3)&amp;"Q"&amp;MONTH(K$3)/3</f>
        <v>2025Q2</v>
      </c>
      <c r="M4" s="11"/>
      <c r="N4" s="11" t="str">
        <f>DateYtd</f>
        <v>2025Sep</v>
      </c>
      <c r="O4" s="11" t="str">
        <f>YEAR(O3)&amp;"Q"&amp;MONTH(O3)/3</f>
        <v>2025Q3</v>
      </c>
      <c r="P4" s="11" t="str" cm="1">
        <f t="array" ref="P4">YEAR(P3)&amp;INDEX(TableYtd,MONTH(P3),1)</f>
        <v>2025Jun</v>
      </c>
      <c r="Q4" s="11" t="str">
        <f>YEAR(Q3)&amp;"Q"&amp;MONTH(Q3)/3</f>
        <v>2025Q2</v>
      </c>
      <c r="R4" s="11" t="str" cm="1">
        <f t="array" ref="R4">YEAR(R3)&amp;INDEX(TableYtd,MONTH(R3),1)</f>
        <v>2025Mar</v>
      </c>
      <c r="S4" s="11" t="str">
        <f>YEAR(S3)&amp;"Q"&amp;MONTH(S3)/3</f>
        <v>2025Q1</v>
      </c>
      <c r="T4" s="232"/>
      <c r="U4" s="11" t="str" cm="1">
        <f t="array" ref="U4">YEAR(U3)&amp;INDEX(TableYtd,MONTH(U3),1)</f>
        <v>2024Dec</v>
      </c>
      <c r="V4" s="11" t="str">
        <f>YEAR(V3)&amp;"Q"&amp;MONTH(V3)/3</f>
        <v>2024Q4</v>
      </c>
      <c r="W4" s="11" t="str" cm="1">
        <f t="array" ref="W4">YEAR(W3)&amp;INDEX(TableYtd,MONTH(W3),1)</f>
        <v>2024Sep</v>
      </c>
      <c r="X4" s="11" t="str">
        <f>YEAR(X3)&amp;"Q"&amp;MONTH(X3)/3</f>
        <v>2024Q3</v>
      </c>
      <c r="Y4" s="11" t="str" cm="1">
        <f t="array" ref="Y4">YEAR(Y3)&amp;INDEX(TableYtd,MONTH(Y3),1)</f>
        <v>2024Jun</v>
      </c>
      <c r="Z4" s="11" t="str">
        <f>YEAR(Z3)&amp;"Q"&amp;MONTH(Z3)/3</f>
        <v>2024Q2</v>
      </c>
      <c r="AA4" s="11" t="str" cm="1">
        <f t="array" ref="AA4">YEAR(AA3)&amp;INDEX(TableYtd,MONTH(AA3),1)</f>
        <v>2024Mar</v>
      </c>
      <c r="AB4" s="232"/>
      <c r="AC4" s="11" t="str" cm="1">
        <f t="array" ref="AC4">YEAR(AC3)&amp;INDEX(TableYtd,MONTH(AC3),1)</f>
        <v>2023Dec</v>
      </c>
      <c r="AD4" s="11" t="str">
        <f t="shared" ref="AD4" si="20">YEAR(AD3)&amp;"Q"&amp;MONTH(AD3)/3</f>
        <v>2023Q4</v>
      </c>
      <c r="AE4" s="11" t="str" cm="1">
        <f t="array" ref="AE4">YEAR(AE3)&amp;INDEX(TableYtd,MONTH(AE3),1)</f>
        <v>2023Sep</v>
      </c>
      <c r="AF4" s="11" t="str">
        <f t="shared" ref="AF4" si="21">YEAR(AF3)&amp;"Q"&amp;MONTH(AF3)/3</f>
        <v>2023Q3</v>
      </c>
      <c r="AG4" s="11" t="str" cm="1">
        <f t="array" ref="AG4">YEAR(AG3)&amp;INDEX(TableYtd,MONTH(AG3),1)</f>
        <v>2023Jun</v>
      </c>
      <c r="AH4" s="11" t="str">
        <f t="shared" ref="AH4" si="22">YEAR(AH3)&amp;"Q"&amp;MONTH(AH3)/3</f>
        <v>2023Q2</v>
      </c>
      <c r="AI4" s="11" t="str" cm="1">
        <f t="array" ref="AI4">YEAR(AI3)&amp;INDEX(TableYtd,MONTH(AI3),1)</f>
        <v>2023Mar</v>
      </c>
      <c r="AJ4" s="11" t="str">
        <f t="shared" ref="AJ4" si="23">YEAR(AJ3)&amp;"Q"&amp;MONTH(AJ3)/3</f>
        <v>2023Q1</v>
      </c>
      <c r="AK4" s="232"/>
      <c r="AL4" s="11" t="str" cm="1">
        <f t="array" ref="AL4">YEAR(AL3)&amp;INDEX(TableYtd,MONTH(AL3),1)</f>
        <v>2022Dec</v>
      </c>
      <c r="AM4" s="11" t="str">
        <f t="shared" ref="AM4" si="24">YEAR(AM3)&amp;"Q"&amp;MONTH(AM3)/3</f>
        <v>2022Q4</v>
      </c>
      <c r="AN4" s="11" t="str" cm="1">
        <f t="array" ref="AN4">YEAR(AN3)&amp;INDEX(TableYtd,MONTH(AN3),1)</f>
        <v>2022Sep</v>
      </c>
      <c r="AO4" s="11" t="str">
        <f t="shared" ref="AO4" si="25">YEAR(AO3)&amp;"Q"&amp;MONTH(AO3)/3</f>
        <v>2022Q3</v>
      </c>
      <c r="AP4" s="11" t="str" cm="1">
        <f t="array" ref="AP4">YEAR(AP3)&amp;INDEX(TableYtd,MONTH(AP3),1)</f>
        <v>2022Jun</v>
      </c>
      <c r="AQ4" s="11" t="str">
        <f t="shared" ref="AQ4" si="26">YEAR(AQ3)&amp;"Q"&amp;MONTH(AQ3)/3</f>
        <v>2022Q2</v>
      </c>
      <c r="AR4" s="11" t="str" cm="1">
        <f t="array" ref="AR4">YEAR(AR3)&amp;INDEX(TableYtd,MONTH(AR3),1)</f>
        <v>2022Mar</v>
      </c>
      <c r="AS4" s="11" t="str">
        <f t="shared" ref="AS4" si="27">YEAR(AS3)&amp;"Q"&amp;MONTH(AS3)/3</f>
        <v>2022Q1</v>
      </c>
    </row>
    <row r="5" spans="1:45" ht="14.25" customHeight="1" collapsed="1" x14ac:dyDescent="0.2">
      <c r="C5" s="73"/>
      <c r="D5" s="73"/>
    </row>
    <row r="6" spans="1:45" ht="17.399999999999999" x14ac:dyDescent="0.3">
      <c r="C6" s="121" t="s">
        <v>223</v>
      </c>
      <c r="D6" s="145"/>
      <c r="E6" s="146">
        <f>DateRef</f>
        <v>45930</v>
      </c>
      <c r="F6" s="147"/>
      <c r="N6" s="121" t="s">
        <v>249</v>
      </c>
    </row>
    <row r="7" spans="1:45" ht="17.399999999999999" x14ac:dyDescent="0.3">
      <c r="C7" s="176" t="s">
        <v>211</v>
      </c>
      <c r="D7" s="145"/>
      <c r="E7" s="146"/>
      <c r="F7" s="147"/>
    </row>
    <row r="8" spans="1:45" ht="27.75" customHeight="1" x14ac:dyDescent="0.25">
      <c r="A8" s="233" t="s">
        <v>175</v>
      </c>
      <c r="B8" s="2"/>
      <c r="C8" s="14" t="s">
        <v>127</v>
      </c>
      <c r="D8" s="74"/>
      <c r="E8" s="62" t="str">
        <f>"AuM 
"&amp;TEXT(DAY(E$1),"00")&amp;"."&amp;TEXT(MONTH(E$1),"00")&amp;"."&amp;YEAR(E$1)</f>
        <v>AuM 
30.09.2025</v>
      </c>
      <c r="F8" s="62" t="str">
        <f>"AuM 
"&amp;TEXT(DAY(F$1),"00")&amp;"."&amp;TEXT(MONTH(F$1),"00")&amp;"."&amp;YEAR(F$1)</f>
        <v>AuM 
30.09.2024</v>
      </c>
      <c r="G8" s="62" t="str">
        <f>"%ch. 
/ "&amp;TEXT(DAY(F$1),"00")&amp;"."&amp;TEXT(MONTH(F$1),"00")&amp;"."&amp;YEAR(F$1)</f>
        <v>%ch. 
/ 30.09.2024</v>
      </c>
      <c r="H8" s="62" t="str">
        <f>"AuM 
"&amp;TEXT(DAY(H$1),"00")&amp;"."&amp;TEXT(MONTH(H$1),"00")&amp;"."&amp;YEAR(H$1)</f>
        <v>AuM 
30.06.2025</v>
      </c>
      <c r="I8" s="62" t="str">
        <f>"%ch. 
/ "&amp;TEXT(DAY(H$1),"00")&amp;"."&amp;TEXT(MONTH(H$1),"00")&amp;"."&amp;YEAR(H$1)</f>
        <v>%ch. 
/ 30.06.2025</v>
      </c>
      <c r="K8" s="62" t="str">
        <f>"AuM 
"&amp;TEXT(DAY(K$1),"00")&amp;"."&amp;TEXT(MONTH(K$1),"00")&amp;"."&amp;YEAR(K$1)</f>
        <v>AuM 
31.12.2024</v>
      </c>
      <c r="L8" s="62" t="str">
        <f>"%ch. 
/ "&amp;TEXT(DAY(K$1),"00")&amp;"."&amp;TEXT(MONTH(K$1),"00")&amp;"."&amp;YEAR(K$1)</f>
        <v>%ch. 
/ 31.12.2024</v>
      </c>
      <c r="N8" s="62" t="str">
        <f>"AuM 
"&amp;TEXT(DAY(N$1),"00")&amp;"."&amp;TEXT(MONTH(N$1),"00")&amp;"."&amp;YEAR(N$1)</f>
        <v>AuM 
30.09.2025</v>
      </c>
      <c r="O8" s="157"/>
      <c r="P8" s="62" t="str">
        <f>"AuM 
"&amp;TEXT(DAY(P$1),"00")&amp;"."&amp;TEXT(MONTH(P$1),"00")&amp;"."&amp;YEAR(P$1)</f>
        <v>AuM 
30.06.2025</v>
      </c>
      <c r="Q8" s="157"/>
      <c r="R8" s="62" t="str">
        <f>"AuM 
"&amp;TEXT(DAY(R$1),"00")&amp;"."&amp;TEXT(MONTH(R$1),"00")&amp;"."&amp;YEAR(R$1)</f>
        <v>AuM 
31.03.2025</v>
      </c>
      <c r="S8" s="157"/>
      <c r="U8" s="62" t="str">
        <f>"AuM 
"&amp;TEXT(DAY(U$1),"00")&amp;"."&amp;TEXT(MONTH(U$1),"00")&amp;"."&amp;YEAR(U$1)</f>
        <v>AuM 
31.12.2024</v>
      </c>
      <c r="V8" s="157"/>
      <c r="W8" s="62" t="str">
        <f>"AuM 
"&amp;TEXT(DAY(W$1),"00")&amp;"."&amp;TEXT(MONTH(W$1),"00")&amp;"."&amp;YEAR(W$1)</f>
        <v>AuM 
30.09.2024</v>
      </c>
      <c r="X8" s="157"/>
      <c r="Y8" s="62" t="str">
        <f>"AuM 
"&amp;TEXT(DAY(Y$1),"00")&amp;"."&amp;TEXT(MONTH(Y$1),"00")&amp;"."&amp;YEAR(Y$1)</f>
        <v>AuM 
30.06.2024</v>
      </c>
      <c r="Z8" s="157"/>
      <c r="AA8" s="62" t="str">
        <f>"AuM 
"&amp;TEXT(DAY(AA$1),"00")&amp;"."&amp;TEXT(MONTH(AA$1),"00")&amp;"."&amp;YEAR(AA$1)</f>
        <v>AuM 
31.03.2024</v>
      </c>
      <c r="AC8" s="62" t="str">
        <f>"AuM 
"&amp;TEXT(DAY(AC$1),"00")&amp;"."&amp;TEXT(MONTH(AC$1),"00")&amp;"."&amp;YEAR(AC$1)</f>
        <v>AuM 
31.12.2023</v>
      </c>
      <c r="AD8" s="157"/>
      <c r="AE8" s="62" t="str">
        <f>"AuM 
"&amp;TEXT(DAY(AE$1),"00")&amp;"."&amp;TEXT(MONTH(AE$1),"00")&amp;"."&amp;YEAR(AE$1)</f>
        <v>AuM 
30.09.2023</v>
      </c>
      <c r="AF8" s="157"/>
      <c r="AG8" s="62" t="str">
        <f>"AuM 
"&amp;TEXT(DAY(AG$1),"00")&amp;"."&amp;TEXT(MONTH(AG$1),"00")&amp;"."&amp;YEAR(AG$1)</f>
        <v>AuM 
30.06.2023</v>
      </c>
      <c r="AH8" s="157"/>
      <c r="AI8" s="62" t="str">
        <f>"AuM 
"&amp;TEXT(DAY(AI$1),"00")&amp;"."&amp;TEXT(MONTH(AI$1),"00")&amp;"."&amp;YEAR(AI$1)</f>
        <v>AuM 
31.03.2023</v>
      </c>
      <c r="AJ8" s="157"/>
      <c r="AL8" s="62" t="str">
        <f>"AuM 
"&amp;TEXT(DAY(AL$1),"00")&amp;"."&amp;TEXT(MONTH(AL$1),"00")&amp;"."&amp;YEAR(AL$1)</f>
        <v>AuM 
31.12.2022</v>
      </c>
      <c r="AM8" s="157"/>
      <c r="AN8" s="62" t="str">
        <f>"AuM 
"&amp;TEXT(DAY(AN$1),"00")&amp;"."&amp;TEXT(MONTH(AN$1),"00")&amp;"."&amp;YEAR(AN$1)</f>
        <v>AuM 
30.09.2022</v>
      </c>
      <c r="AO8" s="157"/>
      <c r="AP8" s="62" t="str">
        <f>"AuM 
"&amp;TEXT(DAY(AP$1),"00")&amp;"."&amp;TEXT(MONTH(AP$1),"00")&amp;"."&amp;YEAR(AP$1)</f>
        <v>AuM 
30.06.2022</v>
      </c>
      <c r="AQ8" s="157"/>
      <c r="AR8" s="62" t="str">
        <f>"AuM 
"&amp;TEXT(DAY(AR$1),"00")&amp;"."&amp;TEXT(MONTH(AR$1),"00")&amp;"."&amp;YEAR(AR$1)</f>
        <v>AuM 
31.03.2022</v>
      </c>
      <c r="AS8" s="157"/>
    </row>
    <row r="9" spans="1:45" ht="15" customHeight="1" x14ac:dyDescent="0.25">
      <c r="A9" s="235" t="s">
        <v>146</v>
      </c>
      <c r="B9" s="51"/>
      <c r="C9" s="86" t="s">
        <v>146</v>
      </c>
      <c r="D9" s="75"/>
      <c r="E9" s="193">
        <v>1040593372746.5928</v>
      </c>
      <c r="F9" s="193">
        <v>987146165084.86353</v>
      </c>
      <c r="G9" s="110">
        <f t="shared" ref="G9:I15" si="28">IF(ISERROR($E9*F9),"NM",IF($E9*F9&gt;0,IF($E9/F9&gt;2,"NM",$E9/F9-1),"NM"))</f>
        <v>5.4143154835772922E-2</v>
      </c>
      <c r="H9" s="193">
        <v>1027966345270.9983</v>
      </c>
      <c r="I9" s="110">
        <f t="shared" si="28"/>
        <v>1.228350279528434E-2</v>
      </c>
      <c r="K9" s="193">
        <v>993889134269.38696</v>
      </c>
      <c r="L9" s="110">
        <f t="shared" ref="L9:L15" si="29">IF(ISERROR($E9*K9),"NM",IF($E9*K9&gt;0,IF($E9/K9&gt;2,"NM",$E9/K9-1),"NM"))</f>
        <v>4.6991396592275247E-2</v>
      </c>
      <c r="N9" s="193">
        <v>1040593372746.5928</v>
      </c>
      <c r="O9" s="157"/>
      <c r="P9" s="193">
        <v>1027966345270.9983</v>
      </c>
      <c r="Q9" s="157"/>
      <c r="R9" s="193">
        <v>1000906229905.21</v>
      </c>
      <c r="S9" s="157"/>
      <c r="T9" s="193"/>
      <c r="U9" s="193">
        <v>993889134269.38696</v>
      </c>
      <c r="V9" s="157"/>
      <c r="W9" s="193">
        <v>987146165084.86353</v>
      </c>
      <c r="X9" s="157"/>
      <c r="Y9" s="193">
        <v>971123971135.40112</v>
      </c>
      <c r="Z9" s="157"/>
      <c r="AA9" s="193">
        <v>978243604916.91931</v>
      </c>
      <c r="AB9" s="193"/>
      <c r="AC9" s="193">
        <v>949762778082.01257</v>
      </c>
      <c r="AD9" s="157"/>
      <c r="AE9" s="193">
        <v>902942171055.14795</v>
      </c>
      <c r="AF9" s="157"/>
      <c r="AG9" s="193">
        <v>906969135735.11621</v>
      </c>
      <c r="AH9" s="157"/>
      <c r="AI9" s="193">
        <v>902927528299.98889</v>
      </c>
      <c r="AJ9" s="157"/>
      <c r="AK9" s="193"/>
      <c r="AL9" s="193">
        <v>877129580248.1189</v>
      </c>
      <c r="AM9" s="157"/>
      <c r="AN9" s="193">
        <v>858044440757.82593</v>
      </c>
      <c r="AO9" s="157"/>
      <c r="AP9" s="193">
        <v>887215551083.48682</v>
      </c>
      <c r="AQ9" s="157"/>
      <c r="AR9" s="193">
        <v>948298920462.88281</v>
      </c>
      <c r="AS9" s="157"/>
    </row>
    <row r="10" spans="1:45" x14ac:dyDescent="0.2">
      <c r="A10" s="235" t="s">
        <v>147</v>
      </c>
      <c r="B10" s="51"/>
      <c r="C10" s="86" t="s">
        <v>147</v>
      </c>
      <c r="D10" s="86"/>
      <c r="E10" s="193">
        <v>200452631577.12994</v>
      </c>
      <c r="F10" s="193">
        <v>201978214564.70996</v>
      </c>
      <c r="G10" s="110">
        <f t="shared" si="28"/>
        <v>-7.5532056309530748E-3</v>
      </c>
      <c r="H10" s="193">
        <v>199084111558.16</v>
      </c>
      <c r="I10" s="110">
        <f t="shared" si="28"/>
        <v>6.8740795448669623E-3</v>
      </c>
      <c r="K10" s="193">
        <v>202020715750.13</v>
      </c>
      <c r="L10" s="110">
        <f t="shared" si="29"/>
        <v>-7.7619969178782666E-3</v>
      </c>
      <c r="N10" s="193">
        <v>200452631577.12994</v>
      </c>
      <c r="O10" s="157"/>
      <c r="P10" s="193">
        <v>199084111558.16</v>
      </c>
      <c r="Q10" s="157"/>
      <c r="R10" s="193">
        <v>198044908973.36008</v>
      </c>
      <c r="S10" s="157"/>
      <c r="T10" s="193"/>
      <c r="U10" s="193">
        <v>202020715750.13</v>
      </c>
      <c r="V10" s="157"/>
      <c r="W10" s="193">
        <v>201978214564.70996</v>
      </c>
      <c r="X10" s="157"/>
      <c r="Y10" s="193">
        <v>207183169436.01007</v>
      </c>
      <c r="Z10" s="157"/>
      <c r="AA10" s="193">
        <v>207568346238.37994</v>
      </c>
      <c r="AB10" s="193"/>
      <c r="AC10" s="193">
        <v>202611886248.01001</v>
      </c>
      <c r="AD10" s="157"/>
      <c r="AE10" s="193">
        <v>196757955657.91995</v>
      </c>
      <c r="AF10" s="157"/>
      <c r="AG10" s="193">
        <v>200279949574.76001</v>
      </c>
      <c r="AH10" s="157"/>
      <c r="AI10" s="193">
        <v>197411658153.98004</v>
      </c>
      <c r="AJ10" s="157"/>
      <c r="AK10" s="193"/>
      <c r="AL10" s="193">
        <v>194189447485.23004</v>
      </c>
      <c r="AM10" s="157"/>
      <c r="AN10" s="193">
        <v>190471315490.21008</v>
      </c>
      <c r="AO10" s="157"/>
      <c r="AP10" s="193">
        <v>193926359593.47992</v>
      </c>
      <c r="AQ10" s="157"/>
      <c r="AR10" s="193">
        <v>208749817067.52002</v>
      </c>
      <c r="AS10" s="157"/>
    </row>
    <row r="11" spans="1:45" ht="12" x14ac:dyDescent="0.25">
      <c r="A11" s="235" t="s">
        <v>212</v>
      </c>
      <c r="B11" s="51"/>
      <c r="C11" s="86" t="s">
        <v>148</v>
      </c>
      <c r="D11" s="87"/>
      <c r="E11" s="193">
        <v>486116976099.99988</v>
      </c>
      <c r="F11" s="193">
        <v>420576613967.99011</v>
      </c>
      <c r="G11" s="110">
        <f t="shared" si="28"/>
        <v>0.15583453752613541</v>
      </c>
      <c r="H11" s="193">
        <v>461254350868.82007</v>
      </c>
      <c r="I11" s="110">
        <f t="shared" si="28"/>
        <v>5.3902202080800876E-2</v>
      </c>
      <c r="K11" s="193">
        <v>440042426009.09985</v>
      </c>
      <c r="L11" s="110">
        <f t="shared" si="29"/>
        <v>0.10470479064658922</v>
      </c>
      <c r="N11" s="193">
        <v>486116976099.99988</v>
      </c>
      <c r="O11" s="157"/>
      <c r="P11" s="193">
        <v>461254350868.82007</v>
      </c>
      <c r="Q11" s="157"/>
      <c r="R11" s="193">
        <v>456165620285.41003</v>
      </c>
      <c r="S11" s="157"/>
      <c r="T11" s="193"/>
      <c r="U11" s="193">
        <v>440042426009.09985</v>
      </c>
      <c r="V11" s="157"/>
      <c r="W11" s="193">
        <v>420576613967.99011</v>
      </c>
      <c r="X11" s="157"/>
      <c r="Y11" s="193">
        <v>406211193670.46985</v>
      </c>
      <c r="Z11" s="157"/>
      <c r="AA11" s="193">
        <v>391242298170.44983</v>
      </c>
      <c r="AB11" s="193"/>
      <c r="AC11" s="193">
        <v>371779709392.38983</v>
      </c>
      <c r="AD11" s="157"/>
      <c r="AE11" s="193">
        <v>352714231571.47015</v>
      </c>
      <c r="AF11" s="157"/>
      <c r="AG11" s="193">
        <v>356419357501.17975</v>
      </c>
      <c r="AH11" s="157"/>
      <c r="AI11" s="193">
        <v>342634706956.72009</v>
      </c>
      <c r="AJ11" s="157"/>
      <c r="AK11" s="193"/>
      <c r="AL11" s="193">
        <v>333767689773.54022</v>
      </c>
      <c r="AM11" s="157"/>
      <c r="AN11" s="193">
        <v>318893420101.99963</v>
      </c>
      <c r="AO11" s="157"/>
      <c r="AP11" s="193">
        <v>325672670730.44006</v>
      </c>
      <c r="AQ11" s="157"/>
      <c r="AR11" s="193">
        <v>349631568791.47998</v>
      </c>
      <c r="AS11" s="157"/>
    </row>
    <row r="12" spans="1:45" x14ac:dyDescent="0.2">
      <c r="A12" s="235" t="s">
        <v>149</v>
      </c>
      <c r="B12" s="51"/>
      <c r="C12" s="86" t="s">
        <v>149</v>
      </c>
      <c r="D12" s="88"/>
      <c r="E12" s="193">
        <v>461420205526.27002</v>
      </c>
      <c r="F12" s="193">
        <v>458089251293.73004</v>
      </c>
      <c r="G12" s="110">
        <f t="shared" si="28"/>
        <v>7.2714088425622769E-3</v>
      </c>
      <c r="H12" s="193">
        <v>459691437538.66992</v>
      </c>
      <c r="I12" s="110">
        <f t="shared" si="28"/>
        <v>3.7607139190072303E-3</v>
      </c>
      <c r="K12" s="193">
        <v>468939975284.47992</v>
      </c>
      <c r="L12" s="110">
        <f t="shared" si="29"/>
        <v>-1.6035676535462895E-2</v>
      </c>
      <c r="N12" s="193">
        <v>461420205526.27002</v>
      </c>
      <c r="O12" s="161"/>
      <c r="P12" s="193">
        <v>459691437538.66992</v>
      </c>
      <c r="Q12" s="161"/>
      <c r="R12" s="193">
        <v>462061555347.49988</v>
      </c>
      <c r="S12" s="161"/>
      <c r="T12" s="193"/>
      <c r="U12" s="193">
        <v>468939975284.47992</v>
      </c>
      <c r="V12" s="161"/>
      <c r="W12" s="193">
        <v>458089251293.73004</v>
      </c>
      <c r="X12" s="161"/>
      <c r="Y12" s="193">
        <v>450568152850.46997</v>
      </c>
      <c r="Z12" s="161"/>
      <c r="AA12" s="193">
        <v>422736451441.11005</v>
      </c>
      <c r="AB12" s="193"/>
      <c r="AC12" s="193">
        <v>399798987387.26001</v>
      </c>
      <c r="AD12" s="161"/>
      <c r="AE12" s="193">
        <v>391523851946.44006</v>
      </c>
      <c r="AF12" s="161"/>
      <c r="AG12" s="193">
        <v>377236092294.94</v>
      </c>
      <c r="AH12" s="161"/>
      <c r="AI12" s="193">
        <v>371409522924.34998</v>
      </c>
      <c r="AJ12" s="161"/>
      <c r="AK12" s="193"/>
      <c r="AL12" s="193">
        <v>378158700250.13989</v>
      </c>
      <c r="AM12" s="161"/>
      <c r="AN12" s="193">
        <v>402709566630.0199</v>
      </c>
      <c r="AO12" s="161"/>
      <c r="AP12" s="193">
        <v>393269270012.25</v>
      </c>
      <c r="AQ12" s="161"/>
      <c r="AR12" s="193">
        <v>386027854432.67004</v>
      </c>
      <c r="AS12" s="161"/>
    </row>
    <row r="13" spans="1:45" x14ac:dyDescent="0.2">
      <c r="A13" s="235" t="s">
        <v>213</v>
      </c>
      <c r="B13" s="51"/>
      <c r="C13" s="86" t="s">
        <v>150</v>
      </c>
      <c r="D13" s="86"/>
      <c r="E13" s="193">
        <v>128844986498.81009</v>
      </c>
      <c r="F13" s="193">
        <v>123754988509.67</v>
      </c>
      <c r="G13" s="110">
        <f t="shared" si="28"/>
        <v>4.1129638897282605E-2</v>
      </c>
      <c r="H13" s="193">
        <v>119142569544.13257</v>
      </c>
      <c r="I13" s="110">
        <f t="shared" si="28"/>
        <v>8.1435350872498757E-2</v>
      </c>
      <c r="K13" s="193">
        <v>135174117144.40001</v>
      </c>
      <c r="L13" s="110">
        <f t="shared" si="29"/>
        <v>-4.6822060164290247E-2</v>
      </c>
      <c r="N13" s="193">
        <v>128844986498.81009</v>
      </c>
      <c r="O13" s="157"/>
      <c r="P13" s="193">
        <v>119142569544.13257</v>
      </c>
      <c r="Q13" s="157"/>
      <c r="R13" s="193">
        <v>130008651990.64</v>
      </c>
      <c r="S13" s="157"/>
      <c r="T13" s="193"/>
      <c r="U13" s="193">
        <v>135174117144.40001</v>
      </c>
      <c r="V13" s="157"/>
      <c r="W13" s="193">
        <v>123754988509.67</v>
      </c>
      <c r="X13" s="157"/>
      <c r="Y13" s="193">
        <v>121011203681.60001</v>
      </c>
      <c r="Z13" s="157"/>
      <c r="AA13" s="193">
        <v>116354326582.81001</v>
      </c>
      <c r="AB13" s="193"/>
      <c r="AC13" s="193">
        <v>112634672460.00999</v>
      </c>
      <c r="AD13" s="157"/>
      <c r="AE13" s="193">
        <v>129366183104.45</v>
      </c>
      <c r="AF13" s="157"/>
      <c r="AG13" s="193">
        <v>120412366347.47</v>
      </c>
      <c r="AH13" s="157"/>
      <c r="AI13" s="193">
        <v>119478165895.02997</v>
      </c>
      <c r="AJ13" s="157"/>
      <c r="AK13" s="193"/>
      <c r="AL13" s="193">
        <v>120749225528.91994</v>
      </c>
      <c r="AM13" s="157"/>
      <c r="AN13" s="193">
        <v>125145715548.75002</v>
      </c>
      <c r="AO13" s="157"/>
      <c r="AP13" s="193">
        <v>124446756582.39001</v>
      </c>
      <c r="AQ13" s="157"/>
      <c r="AR13" s="193">
        <v>127752748122.75002</v>
      </c>
      <c r="AS13" s="157"/>
    </row>
    <row r="14" spans="1:45" ht="18" customHeight="1" x14ac:dyDescent="0.25">
      <c r="A14" s="235" t="s">
        <v>130</v>
      </c>
      <c r="B14" s="51"/>
      <c r="C14" s="112" t="s">
        <v>130</v>
      </c>
      <c r="D14" s="74"/>
      <c r="E14" s="194">
        <v>2317428172448.8022</v>
      </c>
      <c r="F14" s="194">
        <v>2191545233420.9641</v>
      </c>
      <c r="G14" s="53">
        <f t="shared" si="28"/>
        <v>5.7440265027675075E-2</v>
      </c>
      <c r="H14" s="194">
        <v>2267138814780.7813</v>
      </c>
      <c r="I14" s="53">
        <f t="shared" si="28"/>
        <v>2.2181860828351496E-2</v>
      </c>
      <c r="K14" s="194">
        <v>2240066368457.4971</v>
      </c>
      <c r="L14" s="53">
        <f t="shared" si="29"/>
        <v>3.4535496394500154E-2</v>
      </c>
      <c r="N14" s="194">
        <v>2317428172448.8022</v>
      </c>
      <c r="O14" s="157"/>
      <c r="P14" s="194">
        <v>2267138814780.7813</v>
      </c>
      <c r="Q14" s="157"/>
      <c r="R14" s="194">
        <v>2247186966502.1191</v>
      </c>
      <c r="S14" s="157"/>
      <c r="T14" s="195"/>
      <c r="U14" s="194">
        <v>2240066368457.4971</v>
      </c>
      <c r="V14" s="157"/>
      <c r="W14" s="194">
        <v>2191545233420.9641</v>
      </c>
      <c r="X14" s="157"/>
      <c r="Y14" s="194">
        <v>2156097690773.9517</v>
      </c>
      <c r="Z14" s="157"/>
      <c r="AA14" s="194">
        <v>2116145027349.6692</v>
      </c>
      <c r="AB14" s="195"/>
      <c r="AC14" s="194">
        <v>2036588033569.6831</v>
      </c>
      <c r="AD14" s="157"/>
      <c r="AE14" s="194">
        <v>1973304393335.4277</v>
      </c>
      <c r="AF14" s="157"/>
      <c r="AG14" s="194">
        <v>1961316901453.4663</v>
      </c>
      <c r="AH14" s="157"/>
      <c r="AI14" s="194">
        <v>1933861582230.0693</v>
      </c>
      <c r="AJ14" s="157"/>
      <c r="AK14" s="195"/>
      <c r="AL14" s="194">
        <v>1903994643285.9492</v>
      </c>
      <c r="AM14" s="157"/>
      <c r="AN14" s="194">
        <v>1895264458528.8057</v>
      </c>
      <c r="AO14" s="157"/>
      <c r="AP14" s="194">
        <v>1924530608002.0471</v>
      </c>
      <c r="AQ14" s="157"/>
      <c r="AR14" s="194">
        <v>2020460908877.304</v>
      </c>
      <c r="AS14" s="157"/>
    </row>
    <row r="15" spans="1:45" ht="15" customHeight="1" x14ac:dyDescent="0.25">
      <c r="A15" s="50"/>
      <c r="B15" s="2"/>
      <c r="C15" s="101" t="s">
        <v>151</v>
      </c>
      <c r="D15" s="74"/>
      <c r="E15" s="102">
        <f>E14-E9</f>
        <v>1276834799702.2095</v>
      </c>
      <c r="F15" s="102">
        <f t="shared" ref="F15:H15" si="30">F14-F9</f>
        <v>1204399068336.1006</v>
      </c>
      <c r="G15" s="53">
        <f t="shared" si="28"/>
        <v>6.0142633177373783E-2</v>
      </c>
      <c r="H15" s="102">
        <f t="shared" si="30"/>
        <v>1239172469509.783</v>
      </c>
      <c r="I15" s="53">
        <f t="shared" si="28"/>
        <v>3.0393130188992812E-2</v>
      </c>
      <c r="K15" s="102">
        <f>K14-K9</f>
        <v>1246177234188.1101</v>
      </c>
      <c r="L15" s="53">
        <f t="shared" si="29"/>
        <v>2.4601288382605446E-2</v>
      </c>
      <c r="N15" s="102">
        <f>N14-N9</f>
        <v>1276834799702.2095</v>
      </c>
      <c r="O15" s="157"/>
      <c r="P15" s="102">
        <f t="shared" ref="P15:AI15" si="31">P14-P9</f>
        <v>1239172469509.783</v>
      </c>
      <c r="Q15" s="157"/>
      <c r="R15" s="102">
        <f t="shared" si="31"/>
        <v>1246280736596.9092</v>
      </c>
      <c r="S15" s="157"/>
      <c r="T15" s="195"/>
      <c r="U15" s="102">
        <f t="shared" ref="U15:W15" si="32">U14-U9</f>
        <v>1246177234188.1101</v>
      </c>
      <c r="V15" s="157"/>
      <c r="W15" s="102">
        <f t="shared" si="32"/>
        <v>1204399068336.1006</v>
      </c>
      <c r="X15" s="157"/>
      <c r="Y15" s="102">
        <f t="shared" ref="Y15:AA15" si="33">Y14-Y9</f>
        <v>1184973719638.5505</v>
      </c>
      <c r="Z15" s="157"/>
      <c r="AA15" s="102">
        <f t="shared" si="33"/>
        <v>1137901422432.75</v>
      </c>
      <c r="AB15" s="195"/>
      <c r="AC15" s="102">
        <f t="shared" si="31"/>
        <v>1086825255487.6705</v>
      </c>
      <c r="AD15" s="157"/>
      <c r="AE15" s="102">
        <f t="shared" si="31"/>
        <v>1070362222280.2798</v>
      </c>
      <c r="AF15" s="157"/>
      <c r="AG15" s="102">
        <f t="shared" si="31"/>
        <v>1054347765718.3501</v>
      </c>
      <c r="AH15" s="157"/>
      <c r="AI15" s="102">
        <f t="shared" si="31"/>
        <v>1030934053930.0804</v>
      </c>
      <c r="AJ15" s="157"/>
      <c r="AK15" s="195"/>
      <c r="AL15" s="102">
        <f t="shared" ref="AL15" si="34">AL14-AL9</f>
        <v>1026865063037.8303</v>
      </c>
      <c r="AM15" s="157"/>
      <c r="AN15" s="102">
        <f t="shared" ref="AN15" si="35">AN14-AN9</f>
        <v>1037220017770.9797</v>
      </c>
      <c r="AO15" s="157"/>
      <c r="AP15" s="102">
        <f t="shared" ref="AP15" si="36">AP14-AP9</f>
        <v>1037315056918.5603</v>
      </c>
      <c r="AQ15" s="157"/>
      <c r="AR15" s="102">
        <f t="shared" ref="AR15" si="37">AR14-AR9</f>
        <v>1072161988414.4211</v>
      </c>
      <c r="AS15" s="157"/>
    </row>
    <row r="16" spans="1:45" ht="12" hidden="1" outlineLevel="1" x14ac:dyDescent="0.25">
      <c r="A16" s="50"/>
      <c r="B16" s="2"/>
      <c r="C16" s="75"/>
      <c r="D16" s="74"/>
      <c r="E16" s="272">
        <f>ROUND(E14-SUM(E9:E13),3)</f>
        <v>0</v>
      </c>
      <c r="F16" s="272">
        <f>ROUND(F14-SUM(F9:F13),3)</f>
        <v>1E-3</v>
      </c>
      <c r="H16" s="272">
        <f>ROUND(H14-SUM(H9:H13),3)</f>
        <v>0</v>
      </c>
      <c r="K16" s="272">
        <f>ROUND(K14-SUM(K9:K13),3)</f>
        <v>0</v>
      </c>
      <c r="N16" s="272">
        <f>ROUND(N14-SUM(N9:N13),3)</f>
        <v>0</v>
      </c>
      <c r="P16" s="272">
        <f>ROUND(P14-SUM(P9:P13),3)</f>
        <v>0</v>
      </c>
      <c r="R16" s="272">
        <f>ROUND(R14-SUM(R9:R13),3)</f>
        <v>-1E-3</v>
      </c>
      <c r="U16" s="272">
        <f>ROUND(U14-SUM(U9:U13),3)</f>
        <v>0</v>
      </c>
      <c r="W16" s="272">
        <f>ROUND(W14-SUM(W9:W13),3)</f>
        <v>1E-3</v>
      </c>
      <c r="Y16" s="272">
        <f>ROUND(Y14-SUM(Y9:Y13),3)</f>
        <v>1E-3</v>
      </c>
      <c r="AA16" s="272">
        <f>ROUND(AA14-SUM(AA9:AA13),3)</f>
        <v>0</v>
      </c>
      <c r="AC16" s="272">
        <f t="shared" ref="AC16:AR16" si="38">ROUND(AC14-SUM(AC9:AC13),3)</f>
        <v>1E-3</v>
      </c>
      <c r="AD16" s="272"/>
      <c r="AE16" s="272">
        <f t="shared" si="38"/>
        <v>0</v>
      </c>
      <c r="AF16" s="272"/>
      <c r="AG16" s="272">
        <f t="shared" si="38"/>
        <v>0</v>
      </c>
      <c r="AH16" s="272"/>
      <c r="AI16" s="272">
        <f t="shared" si="38"/>
        <v>0</v>
      </c>
      <c r="AJ16" s="272"/>
      <c r="AL16" s="272">
        <f t="shared" si="38"/>
        <v>0</v>
      </c>
      <c r="AM16" s="272"/>
      <c r="AN16" s="272">
        <f t="shared" si="38"/>
        <v>0</v>
      </c>
      <c r="AO16" s="272"/>
      <c r="AP16" s="272">
        <f t="shared" si="38"/>
        <v>0</v>
      </c>
      <c r="AQ16" s="272"/>
      <c r="AR16" s="272">
        <f t="shared" si="38"/>
        <v>1E-3</v>
      </c>
      <c r="AS16" s="272"/>
    </row>
    <row r="17" spans="1:45" ht="15.6" collapsed="1" x14ac:dyDescent="0.3">
      <c r="A17" s="50"/>
      <c r="B17" s="2"/>
      <c r="C17" s="176" t="s">
        <v>188</v>
      </c>
      <c r="D17" s="74"/>
      <c r="E17" s="63"/>
    </row>
    <row r="18" spans="1:45" x14ac:dyDescent="0.2">
      <c r="A18" s="50"/>
      <c r="B18" s="2"/>
      <c r="C18" s="63"/>
      <c r="D18" s="74"/>
      <c r="E18" s="63"/>
    </row>
    <row r="19" spans="1:45" ht="27.6" customHeight="1" x14ac:dyDescent="0.25">
      <c r="A19" s="234" t="s">
        <v>185</v>
      </c>
      <c r="B19" s="2"/>
      <c r="C19" s="155" t="s">
        <v>127</v>
      </c>
      <c r="D19" s="74"/>
      <c r="E19" s="68" t="str" cm="1">
        <f t="array" ref="E19">"Flows"&amp;" "&amp;"
"&amp;INDEX(TableYtd,MONTH(E$3),2)&amp;YEAR(E$3)</f>
        <v>Flows 
9M 2025</v>
      </c>
      <c r="F19" s="68" t="str" cm="1">
        <f t="array" ref="F19">"Flows"&amp;" "&amp;"
"&amp;INDEX(TableYtd,MONTH(F$3),2)&amp;YEAR(F$3)</f>
        <v>Flows 
9M 2024</v>
      </c>
      <c r="H19" s="68" t="str">
        <f>"Flows"&amp;" "&amp;"
"&amp;"Q"&amp;MONTH(H$3)/3&amp;" "&amp;YEAR(H$3)</f>
        <v>Flows 
Q3 2025</v>
      </c>
      <c r="I19" s="68" t="str">
        <f>"Flows"&amp;" "&amp;"
"&amp;"Q"&amp;MONTH(I$3)/3&amp;" "&amp;YEAR(I$3)</f>
        <v>Flows 
Q3 2024</v>
      </c>
      <c r="K19" s="68" t="str">
        <f>"Flows"&amp;" "&amp;"
"&amp;"Q"&amp;MONTH(K$3)/3&amp;" "&amp;YEAR(K$3)</f>
        <v>Flows 
Q2 2025</v>
      </c>
      <c r="N19" s="68" t="str" cm="1">
        <f t="array" ref="N19">"Flows"&amp;" "&amp;"
"&amp;INDEX(TableYtd,MONTH(N$3),2)&amp;YEAR(N$3)</f>
        <v>Flows 
9M 2025</v>
      </c>
      <c r="O19" s="68" t="str">
        <f>"Flows"&amp;" "&amp;"
"&amp;"Q"&amp;MONTH(O$3)/3&amp;" "&amp;YEAR(O$3)</f>
        <v>Flows 
Q3 2025</v>
      </c>
      <c r="P19" s="68" t="str" cm="1">
        <f t="array" ref="P19">"Flows"&amp;" "&amp;"
"&amp;INDEX(TableYtd,MONTH(P$3),2)&amp;YEAR(P$3)</f>
        <v>Flows 
H1 2025</v>
      </c>
      <c r="Q19" s="68" t="str">
        <f>"Flows"&amp;" "&amp;"
"&amp;"Q"&amp;MONTH(Q$3)/3&amp;" "&amp;YEAR(Q$3)</f>
        <v>Flows 
Q2 2025</v>
      </c>
      <c r="R19" s="68" t="str" cm="1">
        <f t="array" ref="R19">"Flows"&amp;" "&amp;"
"&amp;INDEX(TableYtd,MONTH(R$3),2)&amp;YEAR(R$3)</f>
        <v>Flows 
Q1 2025</v>
      </c>
      <c r="S19" s="68" t="str">
        <f>"Flows"&amp;" "&amp;"
"&amp;"Q"&amp;MONTH(S$3)/3&amp;" "&amp;YEAR(S$3)</f>
        <v>Flows 
Q1 2025</v>
      </c>
      <c r="U19" s="68" t="str" cm="1">
        <f t="array" ref="U19">"Flows"&amp;" "&amp;"
"&amp;INDEX(TableYtd,MONTH(U$3),2)&amp;YEAR(U$3)</f>
        <v>Flows 
FY 2024</v>
      </c>
      <c r="V19" s="68" t="str">
        <f>"Flows"&amp;" "&amp;"
"&amp;"Q"&amp;MONTH(V$3)/3&amp;" "&amp;YEAR(V$3)</f>
        <v>Flows 
Q4 2024</v>
      </c>
      <c r="W19" s="68" t="str" cm="1">
        <f t="array" ref="W19">"Flows"&amp;" "&amp;"
"&amp;INDEX(TableYtd,MONTH(W$3),2)&amp;YEAR(W$3)</f>
        <v>Flows 
9M 2024</v>
      </c>
      <c r="X19" s="68" t="str">
        <f>"Flows"&amp;" "&amp;"
"&amp;"Q"&amp;MONTH(X$3)/3&amp;" "&amp;YEAR(X$3)</f>
        <v>Flows 
Q3 2024</v>
      </c>
      <c r="Y19" s="68" t="str" cm="1">
        <f t="array" ref="Y19">"Flows"&amp;" "&amp;"
"&amp;INDEX(TableYtd,MONTH(Y$3),2)&amp;YEAR(Y$3)</f>
        <v>Flows 
H1 2024</v>
      </c>
      <c r="Z19" s="68" t="str">
        <f>"Flows"&amp;" "&amp;"
"&amp;"Q"&amp;MONTH(Z$3)/3&amp;" "&amp;YEAR(Z$3)</f>
        <v>Flows 
Q2 2024</v>
      </c>
      <c r="AA19" s="68" t="str" cm="1">
        <f t="array" ref="AA19">"Flows"&amp;" "&amp;"
"&amp;INDEX(TableYtd,MONTH(AA$3),2)&amp;YEAR(AA$3)</f>
        <v>Flows 
Q1 2024</v>
      </c>
      <c r="AC19" s="68" t="str" cm="1">
        <f t="array" ref="AC19">"Flows"&amp;" "&amp;"
"&amp;INDEX(TableYtd,MONTH(AC$3),2)&amp;YEAR(AC$3)</f>
        <v>Flows 
FY 2023</v>
      </c>
      <c r="AD19" s="68" t="str">
        <f>"Flows"&amp;" "&amp;"
"&amp;"Q"&amp;MONTH(AD$3)/3&amp;" "&amp;YEAR(AD$3)</f>
        <v>Flows 
Q4 2023</v>
      </c>
      <c r="AE19" s="68" t="str" cm="1">
        <f t="array" ref="AE19">"Flows"&amp;" "&amp;"
"&amp;INDEX(TableYtd,MONTH(AE$3),2)&amp;YEAR(AE$3)</f>
        <v>Flows 
9M 2023</v>
      </c>
      <c r="AF19" s="68" t="str">
        <f>"Flows"&amp;" "&amp;"
"&amp;"Q"&amp;MONTH(AF$3)/3&amp;" "&amp;YEAR(AF$3)</f>
        <v>Flows 
Q3 2023</v>
      </c>
      <c r="AG19" s="68" t="str" cm="1">
        <f t="array" ref="AG19">"Flows"&amp;" "&amp;"
"&amp;INDEX(TableYtd,MONTH(AG$3),2)&amp;YEAR(AG$3)</f>
        <v>Flows 
H1 2023</v>
      </c>
      <c r="AH19" s="68" t="str">
        <f>"Flows"&amp;" "&amp;"
"&amp;"Q"&amp;MONTH(AH$3)/3&amp;" "&amp;YEAR(AH$3)</f>
        <v>Flows 
Q2 2023</v>
      </c>
      <c r="AI19" s="68" t="str" cm="1">
        <f t="array" ref="AI19">"Flows"&amp;" "&amp;"
"&amp;INDEX(TableYtd,MONTH(AI$3),2)&amp;YEAR(AI$3)</f>
        <v>Flows 
Q1 2023</v>
      </c>
      <c r="AJ19" s="68" t="str">
        <f>"Flows"&amp;" "&amp;"
"&amp;"Q"&amp;MONTH(AJ$3)/3&amp;" "&amp;YEAR(AJ$3)</f>
        <v>Flows 
Q1 2023</v>
      </c>
      <c r="AL19" s="68" t="str" cm="1">
        <f t="array" ref="AL19">"Flows"&amp;" "&amp;"
"&amp;INDEX(TableYtd,MONTH(AL$3),2)&amp;YEAR(AL$3)</f>
        <v>Flows 
FY 2022</v>
      </c>
      <c r="AM19" s="68" t="str">
        <f>"Flows"&amp;" "&amp;"
"&amp;"Q"&amp;MONTH(AM$3)/3&amp;" "&amp;YEAR(AM$3)</f>
        <v>Flows 
Q4 2022</v>
      </c>
      <c r="AN19" s="68" t="str" cm="1">
        <f t="array" ref="AN19">"Flows"&amp;" "&amp;"
"&amp;INDEX(TableYtd,MONTH(AN$3),2)&amp;YEAR(AN$3)</f>
        <v>Flows 
9M 2022</v>
      </c>
      <c r="AO19" s="68" t="str">
        <f>"Flows"&amp;" "&amp;"
"&amp;"Q"&amp;MONTH(AO$3)/3&amp;" "&amp;YEAR(AO$3)</f>
        <v>Flows 
Q3 2022</v>
      </c>
      <c r="AP19" s="68" t="str" cm="1">
        <f t="array" ref="AP19">"Flows"&amp;" "&amp;"
"&amp;INDEX(TableYtd,MONTH(AP$3),2)&amp;YEAR(AP$3)</f>
        <v>Flows 
H1 2022</v>
      </c>
      <c r="AQ19" s="68" t="str">
        <f>"Flows"&amp;" "&amp;"
"&amp;"Q"&amp;MONTH(AQ$3)/3&amp;" "&amp;YEAR(AQ$3)</f>
        <v>Flows 
Q2 2022</v>
      </c>
      <c r="AR19" s="68" t="str" cm="1">
        <f t="array" ref="AR19">"Flows"&amp;" "&amp;"
"&amp;INDEX(TableYtd,MONTH(AR$3),2)&amp;YEAR(AR$3)</f>
        <v>Flows 
Q1 2022</v>
      </c>
      <c r="AS19" s="68" t="str">
        <f>"Flows"&amp;" "&amp;"
"&amp;"Q"&amp;MONTH(AS$3)/3&amp;" "&amp;YEAR(AS$3)</f>
        <v>Flows 
Q1 2022</v>
      </c>
    </row>
    <row r="20" spans="1:45" ht="15" customHeight="1" x14ac:dyDescent="0.25">
      <c r="A20" s="235" t="s">
        <v>146</v>
      </c>
      <c r="B20" s="51"/>
      <c r="C20" s="115" t="s">
        <v>146</v>
      </c>
      <c r="D20" s="75"/>
      <c r="E20" s="94">
        <v>10020054116.06661</v>
      </c>
      <c r="F20" s="94">
        <v>12773645482.088688</v>
      </c>
      <c r="G20" s="94" t="s">
        <v>331</v>
      </c>
      <c r="H20" s="94">
        <v>725300167.78870821</v>
      </c>
      <c r="I20" s="94">
        <v>2793660116.117487</v>
      </c>
      <c r="J20" s="94" t="s">
        <v>331</v>
      </c>
      <c r="K20" s="94">
        <v>8747517511.6788349</v>
      </c>
      <c r="L20" s="94" t="s">
        <v>331</v>
      </c>
      <c r="M20" s="94"/>
      <c r="N20" s="94">
        <v>10020054116.06661</v>
      </c>
      <c r="O20" s="94">
        <v>725300167.78870821</v>
      </c>
      <c r="P20" s="94">
        <v>9294753948.277914</v>
      </c>
      <c r="Q20" s="94">
        <v>8747517511.6788349</v>
      </c>
      <c r="R20" s="94">
        <v>547236436.59911299</v>
      </c>
      <c r="S20" s="94">
        <v>547236436.59911299</v>
      </c>
      <c r="T20" s="94" t="s">
        <v>331</v>
      </c>
      <c r="U20" s="94">
        <v>18656303543.12672</v>
      </c>
      <c r="V20" s="94">
        <v>5882658061.037982</v>
      </c>
      <c r="W20" s="94">
        <v>12773645482.088688</v>
      </c>
      <c r="X20" s="94">
        <v>2793660116.117487</v>
      </c>
      <c r="Y20" s="94">
        <v>9979985365.9712086</v>
      </c>
      <c r="Z20" s="94">
        <v>6482747.2440395355</v>
      </c>
      <c r="AA20" s="94">
        <v>9973502618.7272205</v>
      </c>
      <c r="AB20" s="94" t="s">
        <v>331</v>
      </c>
      <c r="AC20" s="94">
        <v>10440329719.283115</v>
      </c>
      <c r="AD20" s="94">
        <v>11617483506.021315</v>
      </c>
      <c r="AE20" s="94">
        <v>-1177153786.7381716</v>
      </c>
      <c r="AF20" s="94">
        <v>4139497634.8461833</v>
      </c>
      <c r="AG20" s="94">
        <v>-5316651421.5843868</v>
      </c>
      <c r="AH20" s="94">
        <v>-2895377445.3745165</v>
      </c>
      <c r="AI20" s="94">
        <v>-2421273976.2098517</v>
      </c>
      <c r="AJ20" s="94">
        <v>-2421273976.2098517</v>
      </c>
      <c r="AK20" s="94" t="s">
        <v>331</v>
      </c>
      <c r="AL20" s="94">
        <v>-23030528850.322601</v>
      </c>
      <c r="AM20" s="94">
        <v>6985552394.083065</v>
      </c>
      <c r="AN20" s="94">
        <v>-30016081244.405663</v>
      </c>
      <c r="AO20" s="94">
        <v>-7202251505.3319054</v>
      </c>
      <c r="AP20" s="94">
        <v>-22813829739.073753</v>
      </c>
      <c r="AQ20" s="94">
        <v>6012065.0137369633</v>
      </c>
      <c r="AR20" s="94">
        <v>-22819841804.087498</v>
      </c>
      <c r="AS20" s="94">
        <v>-22819841804.087498</v>
      </c>
    </row>
    <row r="21" spans="1:45" x14ac:dyDescent="0.2">
      <c r="A21" s="235" t="s">
        <v>147</v>
      </c>
      <c r="B21" s="51"/>
      <c r="C21" s="115" t="s">
        <v>147</v>
      </c>
      <c r="D21" s="86"/>
      <c r="E21" s="94">
        <v>-6322170531.4499969</v>
      </c>
      <c r="F21" s="94">
        <v>-13759983691.120001</v>
      </c>
      <c r="G21" s="94" t="s">
        <v>331</v>
      </c>
      <c r="H21" s="94">
        <v>-2969438619.7299995</v>
      </c>
      <c r="I21" s="94">
        <v>-10816556384.440001</v>
      </c>
      <c r="J21" s="94" t="s">
        <v>331</v>
      </c>
      <c r="K21" s="94">
        <v>-1417487143.2600007</v>
      </c>
      <c r="L21" s="94" t="s">
        <v>331</v>
      </c>
      <c r="M21" s="94"/>
      <c r="N21" s="94">
        <v>-6322170531.4499969</v>
      </c>
      <c r="O21" s="94">
        <v>-2969438619.7299995</v>
      </c>
      <c r="P21" s="94">
        <v>-3352731911.7199974</v>
      </c>
      <c r="Q21" s="94">
        <v>-1417487143.2600007</v>
      </c>
      <c r="R21" s="94">
        <v>-1935244768.46</v>
      </c>
      <c r="S21" s="94">
        <v>-1935244768.46</v>
      </c>
      <c r="T21" s="94" t="s">
        <v>331</v>
      </c>
      <c r="U21" s="94">
        <v>-14510998308.469999</v>
      </c>
      <c r="V21" s="94">
        <v>-751014617.35000098</v>
      </c>
      <c r="W21" s="94">
        <v>-13759983691.120001</v>
      </c>
      <c r="X21" s="94">
        <v>-10816556384.440001</v>
      </c>
      <c r="Y21" s="94">
        <v>-2943427306.6799984</v>
      </c>
      <c r="Z21" s="94">
        <v>-1803395108.0800016</v>
      </c>
      <c r="AA21" s="94">
        <v>-1140032198.6000001</v>
      </c>
      <c r="AB21" s="94" t="s">
        <v>331</v>
      </c>
      <c r="AC21" s="94">
        <v>-4266081876.3899989</v>
      </c>
      <c r="AD21" s="94">
        <v>-2065702139.1299999</v>
      </c>
      <c r="AE21" s="94">
        <v>-2200379737.2600007</v>
      </c>
      <c r="AF21" s="94">
        <v>-1517412319.3</v>
      </c>
      <c r="AG21" s="94">
        <v>-682967417.96000147</v>
      </c>
      <c r="AH21" s="94">
        <v>43976367.349999309</v>
      </c>
      <c r="AI21" s="94">
        <v>-726943785.31000209</v>
      </c>
      <c r="AJ21" s="94">
        <v>-726943785.31000209</v>
      </c>
      <c r="AK21" s="94" t="s">
        <v>331</v>
      </c>
      <c r="AL21" s="94">
        <v>8096642620.2000008</v>
      </c>
      <c r="AM21" s="94">
        <v>1771518926.8500006</v>
      </c>
      <c r="AN21" s="94">
        <v>6325123693.3500004</v>
      </c>
      <c r="AO21" s="94">
        <v>1556776722.8300016</v>
      </c>
      <c r="AP21" s="94">
        <v>4768346970.5199995</v>
      </c>
      <c r="AQ21" s="94">
        <v>928956238.33999586</v>
      </c>
      <c r="AR21" s="94">
        <v>3839390732.1800032</v>
      </c>
      <c r="AS21" s="94">
        <v>3839390732.1800032</v>
      </c>
    </row>
    <row r="22" spans="1:45" ht="12" x14ac:dyDescent="0.25">
      <c r="A22" s="235" t="s">
        <v>212</v>
      </c>
      <c r="B22" s="51"/>
      <c r="C22" s="115" t="s">
        <v>148</v>
      </c>
      <c r="D22" s="87"/>
      <c r="E22" s="94">
        <v>29625006627.240017</v>
      </c>
      <c r="F22" s="94">
        <v>5997648586.0200014</v>
      </c>
      <c r="G22" s="94" t="s">
        <v>331</v>
      </c>
      <c r="H22" s="94">
        <v>6848800826.510005</v>
      </c>
      <c r="I22" s="94">
        <v>1896756132.4199979</v>
      </c>
      <c r="J22" s="94" t="s">
        <v>331</v>
      </c>
      <c r="K22" s="94">
        <v>-970560583.09000492</v>
      </c>
      <c r="L22" s="94" t="s">
        <v>331</v>
      </c>
      <c r="M22" s="94"/>
      <c r="N22" s="94">
        <v>29625006627.240017</v>
      </c>
      <c r="O22" s="94">
        <v>6848800826.510005</v>
      </c>
      <c r="P22" s="94">
        <v>22776205800.730034</v>
      </c>
      <c r="Q22" s="94">
        <v>-970560583.09000492</v>
      </c>
      <c r="R22" s="94">
        <v>23746766383.82</v>
      </c>
      <c r="S22" s="94">
        <v>23746766383.82</v>
      </c>
      <c r="T22" s="94" t="s">
        <v>331</v>
      </c>
      <c r="U22" s="94">
        <v>17087995184.100021</v>
      </c>
      <c r="V22" s="94">
        <v>11090346598.080002</v>
      </c>
      <c r="W22" s="94">
        <v>5997648586.0200014</v>
      </c>
      <c r="X22" s="94">
        <v>1896756132.4199979</v>
      </c>
      <c r="Y22" s="94">
        <v>4100892453.599999</v>
      </c>
      <c r="Z22" s="94">
        <v>136509905.26000309</v>
      </c>
      <c r="AA22" s="94">
        <v>3964382548.340004</v>
      </c>
      <c r="AB22" s="94" t="s">
        <v>331</v>
      </c>
      <c r="AC22" s="94">
        <v>8888453169.3800011</v>
      </c>
      <c r="AD22" s="94">
        <v>2858941390.7599993</v>
      </c>
      <c r="AE22" s="94">
        <v>6029511778.6200037</v>
      </c>
      <c r="AF22" s="94">
        <v>-768316693.92999744</v>
      </c>
      <c r="AG22" s="94">
        <v>6797828472.550005</v>
      </c>
      <c r="AH22" s="94">
        <v>6528982374.8499966</v>
      </c>
      <c r="AI22" s="94">
        <v>268846097.6999979</v>
      </c>
      <c r="AJ22" s="94">
        <v>268846097.6999979</v>
      </c>
      <c r="AK22" s="94" t="s">
        <v>331</v>
      </c>
      <c r="AL22" s="94">
        <v>13211993504.110001</v>
      </c>
      <c r="AM22" s="94">
        <v>14561372227.440002</v>
      </c>
      <c r="AN22" s="94">
        <v>-1349378723.3300004</v>
      </c>
      <c r="AO22" s="94">
        <v>-2669562181.6200104</v>
      </c>
      <c r="AP22" s="94">
        <v>1320183458.2900057</v>
      </c>
      <c r="AQ22" s="94">
        <v>-7349484532.1599903</v>
      </c>
      <c r="AR22" s="94">
        <v>8669667990.4499969</v>
      </c>
      <c r="AS22" s="94">
        <v>8669667990.4499969</v>
      </c>
    </row>
    <row r="23" spans="1:45" x14ac:dyDescent="0.2">
      <c r="A23" s="235" t="s">
        <v>149</v>
      </c>
      <c r="B23" s="51"/>
      <c r="C23" s="115" t="s">
        <v>149</v>
      </c>
      <c r="D23" s="88"/>
      <c r="E23" s="94">
        <v>29019065999.249996</v>
      </c>
      <c r="F23" s="94">
        <v>29615008808.229996</v>
      </c>
      <c r="G23" s="94" t="s">
        <v>331</v>
      </c>
      <c r="H23" s="94">
        <v>7437175773.5100021</v>
      </c>
      <c r="I23" s="94">
        <v>7361647307.3599987</v>
      </c>
      <c r="J23" s="94" t="s">
        <v>331</v>
      </c>
      <c r="K23" s="94">
        <v>13802096543.650002</v>
      </c>
      <c r="L23" s="94" t="s">
        <v>331</v>
      </c>
      <c r="M23" s="94"/>
      <c r="N23" s="94">
        <v>29019065999.249996</v>
      </c>
      <c r="O23" s="94">
        <v>7437175773.5100021</v>
      </c>
      <c r="P23" s="94">
        <v>21581890225.740005</v>
      </c>
      <c r="Q23" s="94">
        <v>13802096543.650002</v>
      </c>
      <c r="R23" s="94">
        <v>7779793682.0900011</v>
      </c>
      <c r="S23" s="94">
        <v>7779793682.0900011</v>
      </c>
      <c r="T23" s="94" t="s">
        <v>331</v>
      </c>
      <c r="U23" s="94">
        <v>28144476974.159996</v>
      </c>
      <c r="V23" s="94">
        <v>-1470531834.0700004</v>
      </c>
      <c r="W23" s="94">
        <v>29615008808.229996</v>
      </c>
      <c r="X23" s="94">
        <v>7361647307.3599987</v>
      </c>
      <c r="Y23" s="94">
        <v>22253361500.870003</v>
      </c>
      <c r="Z23" s="94">
        <v>15429785850.340004</v>
      </c>
      <c r="AA23" s="94">
        <v>6823575650.5299988</v>
      </c>
      <c r="AB23" s="94" t="s">
        <v>331</v>
      </c>
      <c r="AC23" s="94">
        <v>7222369101.0700006</v>
      </c>
      <c r="AD23" s="94">
        <v>7542349309.9599991</v>
      </c>
      <c r="AE23" s="94">
        <v>-319980208.89000082</v>
      </c>
      <c r="AF23" s="94">
        <v>3424284987.1900005</v>
      </c>
      <c r="AG23" s="94">
        <v>-3744265196.0800023</v>
      </c>
      <c r="AH23" s="94">
        <v>988899136.77999997</v>
      </c>
      <c r="AI23" s="94">
        <v>-4733164332.8599997</v>
      </c>
      <c r="AJ23" s="94">
        <v>-4733164332.8599997</v>
      </c>
      <c r="AK23" s="94" t="s">
        <v>331</v>
      </c>
      <c r="AL23" s="94">
        <v>16685246584.35001</v>
      </c>
      <c r="AM23" s="94">
        <v>-6748319964.3199787</v>
      </c>
      <c r="AN23" s="94">
        <v>23433566548.669987</v>
      </c>
      <c r="AO23" s="94">
        <v>-2571482871.4900017</v>
      </c>
      <c r="AP23" s="94">
        <v>26005049420.159988</v>
      </c>
      <c r="AQ23" s="94">
        <v>11815816478.249989</v>
      </c>
      <c r="AR23" s="94">
        <v>14189232941.910002</v>
      </c>
      <c r="AS23" s="94">
        <v>14189232941.910002</v>
      </c>
    </row>
    <row r="24" spans="1:45" x14ac:dyDescent="0.2">
      <c r="A24" s="235" t="s">
        <v>213</v>
      </c>
      <c r="B24" s="51"/>
      <c r="C24" s="115" t="s">
        <v>150</v>
      </c>
      <c r="D24" s="86"/>
      <c r="E24" s="94">
        <v>4307126577.8918657</v>
      </c>
      <c r="F24" s="94">
        <v>352190804.0400005</v>
      </c>
      <c r="G24" s="94" t="s">
        <v>331</v>
      </c>
      <c r="H24" s="94">
        <v>3045805617.5697842</v>
      </c>
      <c r="I24" s="94">
        <v>1672371318.3699999</v>
      </c>
      <c r="J24" s="94" t="s">
        <v>331</v>
      </c>
      <c r="K24" s="94">
        <v>264908994.88208061</v>
      </c>
      <c r="L24" s="94" t="s">
        <v>331</v>
      </c>
      <c r="M24" s="94"/>
      <c r="N24" s="94">
        <v>4307126577.8918657</v>
      </c>
      <c r="O24" s="94">
        <v>3045805617.5697842</v>
      </c>
      <c r="P24" s="94">
        <v>1261320960.3220806</v>
      </c>
      <c r="Q24" s="94">
        <v>264908994.88208061</v>
      </c>
      <c r="R24" s="94">
        <v>996411965.44000041</v>
      </c>
      <c r="S24" s="94">
        <v>909510473.01000047</v>
      </c>
      <c r="T24" s="94" t="s">
        <v>331</v>
      </c>
      <c r="U24" s="94">
        <v>6066102698.9800005</v>
      </c>
      <c r="V24" s="94">
        <v>5713911894.9400015</v>
      </c>
      <c r="W24" s="94">
        <v>352190804.0400005</v>
      </c>
      <c r="X24" s="94">
        <v>1672371318.3699999</v>
      </c>
      <c r="Y24" s="94">
        <v>-1320180514.3300009</v>
      </c>
      <c r="Z24" s="94">
        <v>1696620305.3</v>
      </c>
      <c r="AA24" s="94">
        <v>-3016800819.6300001</v>
      </c>
      <c r="AB24" s="94" t="s">
        <v>331</v>
      </c>
      <c r="AC24" s="94">
        <v>3535547096.5899982</v>
      </c>
      <c r="AD24" s="94">
        <v>-458834105.10999972</v>
      </c>
      <c r="AE24" s="94">
        <v>3994381201.7000003</v>
      </c>
      <c r="AF24" s="94">
        <v>8449784682.9800005</v>
      </c>
      <c r="AG24" s="94">
        <v>-4455403481.2799997</v>
      </c>
      <c r="AH24" s="94">
        <v>-1010267575.8599997</v>
      </c>
      <c r="AI24" s="94">
        <v>-3445135905.4200001</v>
      </c>
      <c r="AJ24" s="94">
        <v>-3445135905.4200001</v>
      </c>
      <c r="AK24" s="94" t="s">
        <v>331</v>
      </c>
      <c r="AL24" s="94">
        <v>-7978147229.0299978</v>
      </c>
      <c r="AM24" s="94">
        <v>-1618369462.6899986</v>
      </c>
      <c r="AN24" s="94">
        <v>-6359777766.3399973</v>
      </c>
      <c r="AO24" s="94">
        <v>-2062046597.039999</v>
      </c>
      <c r="AP24" s="94">
        <v>-4297731169.3000002</v>
      </c>
      <c r="AQ24" s="94">
        <v>-3622706644.2599998</v>
      </c>
      <c r="AR24" s="94">
        <v>-675024525.03999996</v>
      </c>
      <c r="AS24" s="94">
        <v>-675024525.03999996</v>
      </c>
    </row>
    <row r="25" spans="1:45" ht="18" customHeight="1" x14ac:dyDescent="0.2">
      <c r="A25" s="235" t="s">
        <v>130</v>
      </c>
      <c r="B25" s="51"/>
      <c r="C25" s="113" t="s">
        <v>130</v>
      </c>
      <c r="D25" s="86"/>
      <c r="E25" s="111">
        <v>66649082788.998474</v>
      </c>
      <c r="F25" s="111">
        <v>34978509989.258652</v>
      </c>
      <c r="H25" s="111">
        <v>15087643765.648487</v>
      </c>
      <c r="I25" s="111">
        <v>2907878489.8274832</v>
      </c>
      <c r="K25" s="111">
        <v>20426475323.86092</v>
      </c>
      <c r="N25" s="111">
        <v>66649082788.998474</v>
      </c>
      <c r="O25" s="111">
        <v>15087643765.648487</v>
      </c>
      <c r="P25" s="111">
        <v>51561439023.350006</v>
      </c>
      <c r="Q25" s="111">
        <v>20426475323.86092</v>
      </c>
      <c r="R25" s="111">
        <v>31134963699.489098</v>
      </c>
      <c r="S25" s="111">
        <v>31134963699.489098</v>
      </c>
      <c r="U25" s="111">
        <v>55443880091.896721</v>
      </c>
      <c r="V25" s="111">
        <v>20465370102.637985</v>
      </c>
      <c r="W25" s="111">
        <v>34978509989.258652</v>
      </c>
      <c r="X25" s="111">
        <v>2907878489.8274832</v>
      </c>
      <c r="Y25" s="111">
        <v>32070631499.43119</v>
      </c>
      <c r="Z25" s="111">
        <v>15466003700.064047</v>
      </c>
      <c r="AA25" s="111">
        <v>16604627799.367222</v>
      </c>
      <c r="AC25" s="111">
        <v>25820617209.933136</v>
      </c>
      <c r="AD25" s="111">
        <v>19494237962.501308</v>
      </c>
      <c r="AE25" s="111">
        <v>6326379247.43188</v>
      </c>
      <c r="AF25" s="111">
        <v>13727838291.786144</v>
      </c>
      <c r="AG25" s="111">
        <v>-7401459044.3543835</v>
      </c>
      <c r="AH25" s="111">
        <v>3656212857.7454872</v>
      </c>
      <c r="AI25" s="111">
        <v>-11057671902.099854</v>
      </c>
      <c r="AJ25" s="111">
        <v>-11057671902.099854</v>
      </c>
      <c r="AL25" s="111">
        <v>6985206629.3074055</v>
      </c>
      <c r="AM25" s="111">
        <v>14951754121.363073</v>
      </c>
      <c r="AN25" s="111">
        <v>-7966547492.0556679</v>
      </c>
      <c r="AO25" s="111">
        <v>-12948566432.651888</v>
      </c>
      <c r="AP25" s="111">
        <v>4982018940.59622</v>
      </c>
      <c r="AQ25" s="111">
        <v>1778593605.1837215</v>
      </c>
      <c r="AR25" s="111">
        <v>3203425335.4124985</v>
      </c>
      <c r="AS25" s="111">
        <v>3203425335.4124985</v>
      </c>
    </row>
    <row r="26" spans="1:45" ht="15" customHeight="1" x14ac:dyDescent="0.2">
      <c r="A26" s="235"/>
      <c r="B26" s="51"/>
      <c r="C26" s="113" t="s">
        <v>151</v>
      </c>
      <c r="D26" s="86"/>
      <c r="E26" s="111">
        <f>E25-E20</f>
        <v>56629028672.931862</v>
      </c>
      <c r="F26" s="111">
        <f t="shared" ref="F26:AJ26" si="39">F25-F20</f>
        <v>22204864507.169964</v>
      </c>
      <c r="H26" s="111">
        <f t="shared" si="39"/>
        <v>14362343597.859779</v>
      </c>
      <c r="I26" s="111">
        <f t="shared" si="39"/>
        <v>114218373.70999622</v>
      </c>
      <c r="K26" s="111">
        <f t="shared" si="39"/>
        <v>11678957812.182085</v>
      </c>
      <c r="N26" s="111">
        <f t="shared" si="39"/>
        <v>56629028672.931862</v>
      </c>
      <c r="O26" s="111">
        <f t="shared" si="39"/>
        <v>14362343597.859779</v>
      </c>
      <c r="P26" s="111">
        <f t="shared" si="39"/>
        <v>42266685075.07209</v>
      </c>
      <c r="Q26" s="111">
        <f t="shared" si="39"/>
        <v>11678957812.182085</v>
      </c>
      <c r="R26" s="111">
        <f t="shared" si="39"/>
        <v>30587727262.889984</v>
      </c>
      <c r="S26" s="111">
        <f t="shared" si="39"/>
        <v>30587727262.889984</v>
      </c>
      <c r="U26" s="111">
        <f t="shared" ref="U26:V26" si="40">U25-U20</f>
        <v>36787576548.770004</v>
      </c>
      <c r="V26" s="111">
        <f t="shared" si="40"/>
        <v>14582712041.600002</v>
      </c>
      <c r="W26" s="111">
        <f t="shared" ref="W26:X26" si="41">W25-W20</f>
        <v>22204864507.169964</v>
      </c>
      <c r="X26" s="111">
        <f t="shared" si="41"/>
        <v>114218373.70999622</v>
      </c>
      <c r="Y26" s="111">
        <f t="shared" ref="Y26:Z26" si="42">Y25-Y20</f>
        <v>22090646133.459984</v>
      </c>
      <c r="Z26" s="111">
        <f t="shared" si="42"/>
        <v>15459520952.820007</v>
      </c>
      <c r="AA26" s="111">
        <f t="shared" ref="AA26" si="43">AA25-AA20</f>
        <v>6631125180.6400013</v>
      </c>
      <c r="AC26" s="111">
        <f t="shared" si="39"/>
        <v>15380287490.650021</v>
      </c>
      <c r="AD26" s="111">
        <f t="shared" si="39"/>
        <v>7876754456.4799938</v>
      </c>
      <c r="AE26" s="111">
        <f t="shared" si="39"/>
        <v>7503533034.1700516</v>
      </c>
      <c r="AF26" s="111">
        <f t="shared" si="39"/>
        <v>9588340656.9399605</v>
      </c>
      <c r="AG26" s="111">
        <f t="shared" si="39"/>
        <v>-2084807622.7699966</v>
      </c>
      <c r="AH26" s="111">
        <f t="shared" si="39"/>
        <v>6551590303.1200037</v>
      </c>
      <c r="AI26" s="111">
        <f t="shared" si="39"/>
        <v>-8636397925.8900013</v>
      </c>
      <c r="AJ26" s="111">
        <f t="shared" si="39"/>
        <v>-8636397925.8900013</v>
      </c>
      <c r="AL26" s="111">
        <f t="shared" ref="AL26:AS26" si="44">AL25-AL20</f>
        <v>30015735479.630005</v>
      </c>
      <c r="AM26" s="111">
        <f t="shared" si="44"/>
        <v>7966201727.2800083</v>
      </c>
      <c r="AN26" s="111">
        <f t="shared" si="44"/>
        <v>22049533752.349995</v>
      </c>
      <c r="AO26" s="111">
        <f t="shared" si="44"/>
        <v>-5746314927.3199825</v>
      </c>
      <c r="AP26" s="111">
        <f t="shared" si="44"/>
        <v>27795848679.669975</v>
      </c>
      <c r="AQ26" s="111">
        <f t="shared" si="44"/>
        <v>1772581540.1699846</v>
      </c>
      <c r="AR26" s="111">
        <f t="shared" si="44"/>
        <v>26023267139.499996</v>
      </c>
      <c r="AS26" s="111">
        <f t="shared" si="44"/>
        <v>26023267139.499996</v>
      </c>
    </row>
    <row r="27" spans="1:45" hidden="1" outlineLevel="1" x14ac:dyDescent="0.2">
      <c r="A27" s="2"/>
      <c r="B27" s="2"/>
      <c r="C27" s="63"/>
      <c r="D27" s="74"/>
      <c r="E27" s="272">
        <f>ROUND(E25-SUM(E20:E24),2)</f>
        <v>0</v>
      </c>
      <c r="F27" s="272">
        <f>ROUND(F25-SUM(F20:F24),2)</f>
        <v>0</v>
      </c>
      <c r="G27" s="94"/>
      <c r="H27" s="272">
        <f>ROUND(H25-SUM(H20:H24),3)</f>
        <v>0</v>
      </c>
      <c r="I27" s="272">
        <f>ROUND(I25-SUM(I20:I24),3)</f>
        <v>0</v>
      </c>
      <c r="K27" s="272">
        <f>ROUND(K25-SUM(K20:K24),3)</f>
        <v>0</v>
      </c>
      <c r="N27" s="272">
        <f>ROUND(N25-SUM(N20:N24),3)</f>
        <v>0</v>
      </c>
      <c r="O27" s="272">
        <f t="shared" ref="O27:AS27" si="45">ROUND(O25-SUM(O20:O24),3)</f>
        <v>0</v>
      </c>
      <c r="P27" s="272">
        <f t="shared" si="45"/>
        <v>0</v>
      </c>
      <c r="Q27" s="272">
        <f t="shared" si="45"/>
        <v>0</v>
      </c>
      <c r="R27" s="272">
        <f t="shared" si="45"/>
        <v>0</v>
      </c>
      <c r="S27" s="272">
        <f t="shared" si="45"/>
        <v>86901492.430000007</v>
      </c>
      <c r="U27" s="272">
        <f t="shared" ref="U27:V27" si="46">ROUND(U25-SUM(U20:U24),3)</f>
        <v>0</v>
      </c>
      <c r="V27" s="272">
        <f t="shared" si="46"/>
        <v>0</v>
      </c>
      <c r="W27" s="272">
        <f t="shared" ref="W27:X27" si="47">ROUND(W25-SUM(W20:W24),3)</f>
        <v>0</v>
      </c>
      <c r="X27" s="272">
        <f t="shared" si="47"/>
        <v>0</v>
      </c>
      <c r="Y27" s="272">
        <f t="shared" ref="Y27:Z27" si="48">ROUND(Y25-SUM(Y20:Y24),3)</f>
        <v>0</v>
      </c>
      <c r="Z27" s="272">
        <f t="shared" si="48"/>
        <v>0</v>
      </c>
      <c r="AA27" s="272">
        <f t="shared" ref="AA27" si="49">ROUND(AA25-SUM(AA20:AA24),3)</f>
        <v>0</v>
      </c>
      <c r="AC27" s="272">
        <f t="shared" si="45"/>
        <v>0</v>
      </c>
      <c r="AD27" s="272">
        <f t="shared" si="45"/>
        <v>0</v>
      </c>
      <c r="AE27" s="272">
        <f t="shared" si="45"/>
        <v>0</v>
      </c>
      <c r="AF27" s="272">
        <f t="shared" si="45"/>
        <v>0</v>
      </c>
      <c r="AG27" s="272">
        <f t="shared" si="45"/>
        <v>0</v>
      </c>
      <c r="AH27" s="272">
        <f t="shared" si="45"/>
        <v>0</v>
      </c>
      <c r="AI27" s="272">
        <f t="shared" si="45"/>
        <v>0</v>
      </c>
      <c r="AJ27" s="272">
        <f t="shared" si="45"/>
        <v>0</v>
      </c>
      <c r="AL27" s="272">
        <f t="shared" si="45"/>
        <v>0</v>
      </c>
      <c r="AM27" s="272">
        <f t="shared" si="45"/>
        <v>0</v>
      </c>
      <c r="AN27" s="272">
        <f t="shared" si="45"/>
        <v>0</v>
      </c>
      <c r="AO27" s="272">
        <f t="shared" si="45"/>
        <v>0</v>
      </c>
      <c r="AP27" s="272">
        <f t="shared" si="45"/>
        <v>0</v>
      </c>
      <c r="AQ27" s="272">
        <f t="shared" si="45"/>
        <v>0</v>
      </c>
      <c r="AR27" s="272">
        <f t="shared" si="45"/>
        <v>0</v>
      </c>
      <c r="AS27" s="272">
        <f t="shared" si="45"/>
        <v>0</v>
      </c>
    </row>
    <row r="28" spans="1:45" collapsed="1" x14ac:dyDescent="0.2"/>
  </sheetData>
  <pageMargins left="0.39370078740157483" right="0.39370078740157483" top="0.39370078740157483" bottom="0.59055118110236227" header="0.31496062992125984" footer="0.19685039370078741"/>
  <pageSetup paperSize="9" scale="60" orientation="landscape" verticalDpi="0" r:id="rId1"/>
  <headerFooter>
    <oddFooter>&amp;L&amp;"Arial Black,Normal"&amp;F - &amp;A&amp;C&amp;"Arial Black,Normal"&amp;8p. &amp;P / &amp;N&amp;R&amp;"Arial Narrow,Normal"&amp;8&amp;G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1569F-F264-4171-9DA9-8157576C1856}">
  <sheetPr>
    <pageSetUpPr fitToPage="1"/>
  </sheetPr>
  <dimension ref="A1:AU35"/>
  <sheetViews>
    <sheetView showGridLines="0" topLeftCell="B5" zoomScaleNormal="100" workbookViewId="0">
      <pane xSplit="3" topLeftCell="E1" activePane="topRight" state="frozen"/>
      <selection activeCell="B30" sqref="B30"/>
      <selection pane="topRight" activeCell="B30" sqref="B30"/>
    </sheetView>
  </sheetViews>
  <sheetFormatPr baseColWidth="10" defaultColWidth="9.125" defaultRowHeight="11.4" outlineLevelRow="1" outlineLevelCol="1" x14ac:dyDescent="0.2"/>
  <cols>
    <col min="1" max="1" width="25.75" hidden="1" customWidth="1" outlineLevel="1"/>
    <col min="2" max="2" width="2.75" customWidth="1" collapsed="1"/>
    <col min="3" max="3" width="32.625" customWidth="1"/>
    <col min="4" max="4" width="2.75" style="85" customWidth="1"/>
    <col min="5" max="6" width="10.625" customWidth="1"/>
    <col min="7" max="7" width="11" bestFit="1" customWidth="1"/>
    <col min="8" max="8" width="2.75" customWidth="1"/>
    <col min="9" max="9" width="10.625" customWidth="1"/>
    <col min="10" max="10" width="12" bestFit="1" customWidth="1"/>
    <col min="11" max="12" width="10.625" customWidth="1"/>
    <col min="13" max="13" width="11" bestFit="1" customWidth="1"/>
    <col min="14" max="14" width="10.75" customWidth="1"/>
    <col min="15" max="19" width="10.125" customWidth="1"/>
    <col min="20" max="20" width="10.125" hidden="1" customWidth="1"/>
    <col min="21" max="21" width="2.75" customWidth="1"/>
    <col min="22" max="22" width="10.5" customWidth="1"/>
    <col min="23" max="23" width="10.5" hidden="1" customWidth="1" outlineLevel="1"/>
    <col min="24" max="24" width="10.5" customWidth="1" collapsed="1"/>
    <col min="25" max="28" width="10.875" customWidth="1"/>
    <col min="29" max="29" width="10.875" hidden="1" customWidth="1"/>
    <col min="30" max="30" width="2.75" customWidth="1"/>
    <col min="31" max="37" width="10.875" customWidth="1"/>
    <col min="38" max="38" width="10.875" hidden="1" customWidth="1"/>
    <col min="39" max="39" width="2.75" customWidth="1"/>
    <col min="40" max="46" width="10.875" customWidth="1"/>
    <col min="47" max="47" width="10.875" hidden="1" customWidth="1"/>
    <col min="48" max="48" width="10.875" customWidth="1"/>
  </cols>
  <sheetData>
    <row r="1" spans="1:47" hidden="1" outlineLevel="1" x14ac:dyDescent="0.2">
      <c r="B1" s="232"/>
      <c r="C1" s="50" t="s">
        <v>174</v>
      </c>
      <c r="D1" s="246"/>
      <c r="E1" s="247">
        <f>DateRef</f>
        <v>45930</v>
      </c>
      <c r="F1" s="247">
        <f>EOMONTH($E$1,-12)</f>
        <v>45565</v>
      </c>
      <c r="G1" s="248"/>
      <c r="H1" s="232"/>
      <c r="I1" s="247">
        <f>EOMONTH($E$1,-3)</f>
        <v>45838</v>
      </c>
      <c r="J1" s="247"/>
      <c r="L1" s="247">
        <f>EOMONTH($E$1,-3)</f>
        <v>45838</v>
      </c>
      <c r="M1" s="11"/>
      <c r="N1" s="11"/>
      <c r="O1" s="247">
        <f>DateRef</f>
        <v>45930</v>
      </c>
      <c r="P1" s="247"/>
      <c r="Q1" s="247">
        <f>EOMONTH(O1,-3)</f>
        <v>45838</v>
      </c>
      <c r="R1" s="247"/>
      <c r="S1" s="247">
        <f>EOMONTH(Q1,-3)</f>
        <v>45747</v>
      </c>
      <c r="T1" s="247"/>
      <c r="U1" s="232"/>
      <c r="V1" s="247">
        <f>EOMONTH(S1,-3)</f>
        <v>45657</v>
      </c>
      <c r="W1" s="247"/>
      <c r="X1" s="247">
        <f t="shared" ref="X1" si="0">EOMONTH(V1,-3)</f>
        <v>45565</v>
      </c>
      <c r="Y1" s="247"/>
      <c r="Z1" s="247">
        <f>EOMONTH(X1,-3)</f>
        <v>45473</v>
      </c>
      <c r="AA1" s="247"/>
      <c r="AB1" s="247">
        <f t="shared" ref="AB1" si="1">EOMONTH(Z1,-3)</f>
        <v>45382</v>
      </c>
      <c r="AC1" s="247"/>
      <c r="AD1" s="232"/>
      <c r="AE1" s="247">
        <f>EOMONTH(X1,-3)</f>
        <v>45473</v>
      </c>
      <c r="AF1" s="247"/>
      <c r="AG1" s="247">
        <f t="shared" ref="AG1" si="2">EOMONTH(AE1,-3)</f>
        <v>45382</v>
      </c>
      <c r="AH1" s="247"/>
      <c r="AI1" s="247">
        <f>EOMONTH(AG1,-3)</f>
        <v>45291</v>
      </c>
      <c r="AJ1" s="247"/>
      <c r="AK1" s="247">
        <f t="shared" ref="AK1" si="3">EOMONTH(AI1,-3)</f>
        <v>45199</v>
      </c>
      <c r="AL1" s="247"/>
      <c r="AM1" s="232"/>
      <c r="AN1" s="247">
        <f>EOMONTH(AK1,-3)</f>
        <v>45107</v>
      </c>
      <c r="AO1" s="247"/>
      <c r="AP1" s="247">
        <f t="shared" ref="AP1" si="4">EOMONTH(AN1,-3)</f>
        <v>45016</v>
      </c>
      <c r="AQ1" s="247"/>
      <c r="AR1" s="247">
        <f t="shared" ref="AR1" si="5">EOMONTH(AP1,-3)</f>
        <v>44926</v>
      </c>
      <c r="AS1" s="247"/>
      <c r="AT1" s="247">
        <f t="shared" ref="AT1" si="6">EOMONTH(AR1,-3)</f>
        <v>44834</v>
      </c>
      <c r="AU1" s="247"/>
    </row>
    <row r="2" spans="1:47" hidden="1" outlineLevel="1" x14ac:dyDescent="0.2">
      <c r="B2" s="232"/>
      <c r="C2" s="50" t="s">
        <v>171</v>
      </c>
      <c r="D2" s="249">
        <v>45565</v>
      </c>
      <c r="E2" s="11" t="str">
        <f>DateYtd</f>
        <v>2025Sep</v>
      </c>
      <c r="F2" s="11" t="str" cm="1">
        <f t="array" ref="F2">YEAR(EOMONTH(DateRef,-12))&amp;INDEX(TableYtd,MONTH(EOMONTH(DateRef,-12)),1)</f>
        <v>2024Sep</v>
      </c>
      <c r="G2" s="248"/>
      <c r="H2" s="232"/>
      <c r="I2" s="11" t="str" cm="1">
        <f t="array" ref="I2">YEAR(EOMONTH(DateRef,-3))&amp;INDEX(TableYtd,MONTH(EOMONTH(DateRef,-3)),1)</f>
        <v>2025Jun</v>
      </c>
      <c r="J2" s="248"/>
      <c r="L2" s="11" t="str" cm="1">
        <f t="array" ref="L2">YEAR(EOMONTH(DateRef,-MONTH(DateRef)))&amp;INDEX(TableYtd,MONTH(EOMONTH(DateRef,-MONTH(DateRef))),1)</f>
        <v>2024Dec</v>
      </c>
      <c r="M2" s="11"/>
      <c r="N2" s="11"/>
      <c r="O2" s="11" t="str">
        <f>DateYtd</f>
        <v>2025Sep</v>
      </c>
      <c r="P2" s="232"/>
      <c r="Q2" s="11" t="str" cm="1">
        <f t="array" ref="Q2">YEAR(Q1)&amp;INDEX(TableYtd,MONTH(Q1),1)</f>
        <v>2025Jun</v>
      </c>
      <c r="R2" s="232"/>
      <c r="S2" s="11" t="str" cm="1">
        <f t="array" ref="S2">YEAR(S1)&amp;INDEX(TableYtd,MONTH(S1),1)</f>
        <v>2025Mar</v>
      </c>
      <c r="T2" s="232"/>
      <c r="U2" s="232"/>
      <c r="V2" s="11" t="str" cm="1">
        <f t="array" ref="V2">YEAR(V1)&amp;INDEX(TableYtd,MONTH(V1),1)</f>
        <v>2024Dec</v>
      </c>
      <c r="W2" s="232"/>
      <c r="X2" s="11" t="str" cm="1">
        <f t="array" ref="X2">YEAR(X1)&amp;INDEX(TableYtd,MONTH(X1),1)</f>
        <v>2024Sep</v>
      </c>
      <c r="Y2" s="232"/>
      <c r="Z2" s="11" t="str" cm="1">
        <f t="array" ref="Z2">YEAR(Z1)&amp;INDEX(TableYtd,MONTH(Z1),1)</f>
        <v>2024Jun</v>
      </c>
      <c r="AA2" s="232"/>
      <c r="AB2" s="11" t="str" cm="1">
        <f t="array" ref="AB2">YEAR(AB1)&amp;INDEX(TableYtd,MONTH(AB1),1)</f>
        <v>2024Mar</v>
      </c>
      <c r="AC2" s="232"/>
      <c r="AD2" s="232"/>
      <c r="AE2" s="11" t="str" cm="1">
        <f t="array" ref="AE2">YEAR(AE1)&amp;INDEX(TableYtd,MONTH(AE1),1)</f>
        <v>2024Jun</v>
      </c>
      <c r="AF2" s="232"/>
      <c r="AG2" s="11" t="str" cm="1">
        <f t="array" ref="AG2">YEAR(AG1)&amp;INDEX(TableYtd,MONTH(AG1),1)</f>
        <v>2024Mar</v>
      </c>
      <c r="AH2" s="232"/>
      <c r="AI2" s="11" t="str" cm="1">
        <f t="array" ref="AI2">YEAR(AI1)&amp;INDEX(TableYtd,MONTH(AI1),1)</f>
        <v>2023Dec</v>
      </c>
      <c r="AJ2" s="232"/>
      <c r="AK2" s="11" t="str" cm="1">
        <f t="array" ref="AK2">YEAR(AK1)&amp;INDEX(TableYtd,MONTH(AK1),1)</f>
        <v>2023Sep</v>
      </c>
      <c r="AL2" s="232"/>
      <c r="AM2" s="232"/>
      <c r="AN2" s="11" t="str" cm="1">
        <f t="array" ref="AN2">YEAR(AN1)&amp;INDEX(TableYtd,MONTH(AN1),1)</f>
        <v>2023Jun</v>
      </c>
      <c r="AO2" s="232"/>
      <c r="AP2" s="11" t="str" cm="1">
        <f t="array" ref="AP2">YEAR(AP1)&amp;INDEX(TableYtd,MONTH(AP1),1)</f>
        <v>2023Mar</v>
      </c>
      <c r="AQ2" s="232"/>
      <c r="AR2" s="11" t="str" cm="1">
        <f t="array" ref="AR2">YEAR(AR1)&amp;INDEX(TableYtd,MONTH(AR1),1)</f>
        <v>2022Dec</v>
      </c>
      <c r="AS2" s="232"/>
      <c r="AT2" s="11" t="str" cm="1">
        <f t="array" ref="AT2">YEAR(AT1)&amp;INDEX(TableYtd,MONTH(AT1),1)</f>
        <v>2022Sep</v>
      </c>
      <c r="AU2" s="232"/>
    </row>
    <row r="3" spans="1:47" hidden="1" outlineLevel="1" x14ac:dyDescent="0.2">
      <c r="B3" s="232"/>
      <c r="C3" s="50" t="s">
        <v>186</v>
      </c>
      <c r="D3" s="246"/>
      <c r="E3" s="247">
        <f>DateRef</f>
        <v>45930</v>
      </c>
      <c r="F3" s="247">
        <f>EOMONTH($E$1,-12)</f>
        <v>45565</v>
      </c>
      <c r="G3" s="248"/>
      <c r="H3" s="232"/>
      <c r="I3" s="247">
        <f>DateRef</f>
        <v>45930</v>
      </c>
      <c r="J3" s="247">
        <f>EOMONTH(I3,-12)</f>
        <v>45565</v>
      </c>
      <c r="K3" s="247"/>
      <c r="L3" s="247">
        <f>EOMONTH(I3,-3)</f>
        <v>45838</v>
      </c>
      <c r="M3" s="247"/>
      <c r="N3" s="11"/>
      <c r="O3" s="247">
        <f>DateRef</f>
        <v>45930</v>
      </c>
      <c r="P3" s="247">
        <f>O3</f>
        <v>45930</v>
      </c>
      <c r="Q3" s="247">
        <f>EOMONTH(O3,-3)</f>
        <v>45838</v>
      </c>
      <c r="R3" s="247">
        <f>Q3</f>
        <v>45838</v>
      </c>
      <c r="S3" s="247">
        <f>EOMONTH(Q3,-3)</f>
        <v>45747</v>
      </c>
      <c r="T3" s="247">
        <f>S3</f>
        <v>45747</v>
      </c>
      <c r="U3" s="232"/>
      <c r="V3" s="247">
        <f>EOMONTH(S3,-3)</f>
        <v>45657</v>
      </c>
      <c r="W3" s="247">
        <f t="shared" ref="W3" si="7">V3</f>
        <v>45657</v>
      </c>
      <c r="X3" s="247">
        <f t="shared" ref="X3" si="8">EOMONTH(V3,-3)</f>
        <v>45565</v>
      </c>
      <c r="Y3" s="247">
        <f t="shared" ref="Y3" si="9">X3</f>
        <v>45565</v>
      </c>
      <c r="Z3" s="247">
        <f t="shared" ref="Z3" si="10">EOMONTH(X3,-3)</f>
        <v>45473</v>
      </c>
      <c r="AA3" s="247">
        <f t="shared" ref="AA3" si="11">Z3</f>
        <v>45473</v>
      </c>
      <c r="AB3" s="247">
        <f t="shared" ref="AB3" si="12">EOMONTH(Z3,-3)</f>
        <v>45382</v>
      </c>
      <c r="AC3" s="247">
        <f t="shared" ref="AC3" si="13">AB3</f>
        <v>45382</v>
      </c>
      <c r="AD3" s="232"/>
      <c r="AE3" s="247">
        <v>45291</v>
      </c>
      <c r="AF3" s="247">
        <f t="shared" ref="AF3" si="14">AE3</f>
        <v>45291</v>
      </c>
      <c r="AG3" s="247">
        <f t="shared" ref="AG3" si="15">EOMONTH(AE3,-3)</f>
        <v>45199</v>
      </c>
      <c r="AH3" s="247">
        <f t="shared" ref="AH3" si="16">AG3</f>
        <v>45199</v>
      </c>
      <c r="AI3" s="247">
        <f t="shared" ref="AI3" si="17">EOMONTH(AG3,-3)</f>
        <v>45107</v>
      </c>
      <c r="AJ3" s="247">
        <f t="shared" ref="AJ3" si="18">AI3</f>
        <v>45107</v>
      </c>
      <c r="AK3" s="247">
        <f t="shared" ref="AK3" si="19">EOMONTH(AI3,-3)</f>
        <v>45016</v>
      </c>
      <c r="AL3" s="247">
        <f t="shared" ref="AL3" si="20">AK3</f>
        <v>45016</v>
      </c>
      <c r="AM3" s="232"/>
      <c r="AN3" s="247">
        <f>EOMONTH(AK3,-3)</f>
        <v>44926</v>
      </c>
      <c r="AO3" s="247">
        <f t="shared" ref="AO3" si="21">AN3</f>
        <v>44926</v>
      </c>
      <c r="AP3" s="247">
        <f t="shared" ref="AP3" si="22">EOMONTH(AN3,-3)</f>
        <v>44834</v>
      </c>
      <c r="AQ3" s="247">
        <f t="shared" ref="AQ3" si="23">AP3</f>
        <v>44834</v>
      </c>
      <c r="AR3" s="247">
        <f t="shared" ref="AR3" si="24">EOMONTH(AP3,-3)</f>
        <v>44742</v>
      </c>
      <c r="AS3" s="247">
        <f t="shared" ref="AS3" si="25">AR3</f>
        <v>44742</v>
      </c>
      <c r="AT3" s="247">
        <f t="shared" ref="AT3" si="26">EOMONTH(AR3,-3)</f>
        <v>44651</v>
      </c>
      <c r="AU3" s="247">
        <f t="shared" ref="AU3" si="27">AT3</f>
        <v>44651</v>
      </c>
    </row>
    <row r="4" spans="1:47" hidden="1" outlineLevel="1" x14ac:dyDescent="0.2">
      <c r="B4" s="232"/>
      <c r="C4" s="50" t="s">
        <v>172</v>
      </c>
      <c r="D4" s="246"/>
      <c r="E4" s="11" t="str">
        <f>DateYtd</f>
        <v>2025Sep</v>
      </c>
      <c r="F4" s="11" t="str" cm="1">
        <f t="array" ref="F4">YEAR(EOMONTH(DateRef,-12))&amp;INDEX(TableYtd,MONTH(EOMONTH(DateRef,-12)),1)</f>
        <v>2024Sep</v>
      </c>
      <c r="G4" s="248"/>
      <c r="H4" s="232"/>
      <c r="I4" s="11" t="str">
        <f>DateQ</f>
        <v>2025Q3</v>
      </c>
      <c r="J4" s="11" t="str">
        <f>YEAR(J$3)&amp;"Q"&amp;MONTH(J$3)/3</f>
        <v>2024Q3</v>
      </c>
      <c r="K4" s="11"/>
      <c r="L4" s="11" t="str">
        <f>YEAR(L$3)&amp;"Q"&amp;MONTH(L$3)/3</f>
        <v>2025Q2</v>
      </c>
      <c r="M4" s="11"/>
      <c r="N4" s="11"/>
      <c r="O4" s="11" t="str">
        <f>DateYtd</f>
        <v>2025Sep</v>
      </c>
      <c r="P4" s="11" t="str">
        <f>YEAR(P3)&amp;"Q"&amp;MONTH(P3)/3</f>
        <v>2025Q3</v>
      </c>
      <c r="Q4" s="11" t="str" cm="1">
        <f t="array" ref="Q4">YEAR(Q3)&amp;INDEX(TableYtd,MONTH(Q3),1)</f>
        <v>2025Jun</v>
      </c>
      <c r="R4" s="11" t="str">
        <f>YEAR(R3)&amp;"Q"&amp;MONTH(R3)/3</f>
        <v>2025Q2</v>
      </c>
      <c r="S4" s="11" t="str" cm="1">
        <f t="array" ref="S4">YEAR(S3)&amp;INDEX(TableYtd,MONTH(S3),1)</f>
        <v>2025Mar</v>
      </c>
      <c r="T4" s="11" t="str">
        <f>YEAR(T3)&amp;"Q"&amp;MONTH(T3)/3</f>
        <v>2025Q1</v>
      </c>
      <c r="U4" s="232"/>
      <c r="V4" s="11" t="str" cm="1">
        <f t="array" ref="V4">YEAR(V3)&amp;INDEX(TableYtd,MONTH(V3),1)</f>
        <v>2024Dec</v>
      </c>
      <c r="W4" s="11" t="str">
        <f t="shared" ref="W4" si="28">YEAR(W3)&amp;"Q"&amp;MONTH(W3)/3</f>
        <v>2024Q4</v>
      </c>
      <c r="X4" s="11" t="str" cm="1">
        <f t="array" ref="X4">YEAR(X3)&amp;INDEX(TableYtd,MONTH(X3),1)</f>
        <v>2024Sep</v>
      </c>
      <c r="Y4" s="11" t="str">
        <f t="shared" ref="Y4" si="29">YEAR(Y3)&amp;"Q"&amp;MONTH(Y3)/3</f>
        <v>2024Q3</v>
      </c>
      <c r="Z4" s="11" t="str" cm="1">
        <f t="array" ref="Z4">YEAR(Z3)&amp;INDEX(TableYtd,MONTH(Z3),1)</f>
        <v>2024Jun</v>
      </c>
      <c r="AA4" s="11" t="str">
        <f t="shared" ref="AA4" si="30">YEAR(AA3)&amp;"Q"&amp;MONTH(AA3)/3</f>
        <v>2024Q2</v>
      </c>
      <c r="AB4" s="11" t="str" cm="1">
        <f t="array" ref="AB4">YEAR(AB3)&amp;INDEX(TableYtd,MONTH(AB3),1)</f>
        <v>2024Mar</v>
      </c>
      <c r="AC4" s="11" t="str">
        <f t="shared" ref="AC4" si="31">YEAR(AC3)&amp;"Q"&amp;MONTH(AC3)/3</f>
        <v>2024Q1</v>
      </c>
      <c r="AD4" s="232"/>
      <c r="AE4" s="11" t="str" cm="1">
        <f t="array" ref="AE4">YEAR(AE3)&amp;INDEX(TableYtd,MONTH(AE3),1)</f>
        <v>2023Dec</v>
      </c>
      <c r="AF4" s="11" t="str">
        <f t="shared" ref="AF4" si="32">YEAR(AF3)&amp;"Q"&amp;MONTH(AF3)/3</f>
        <v>2023Q4</v>
      </c>
      <c r="AG4" s="11" t="str" cm="1">
        <f t="array" ref="AG4">YEAR(AG3)&amp;INDEX(TableYtd,MONTH(AG3),1)</f>
        <v>2023Sep</v>
      </c>
      <c r="AH4" s="11" t="str">
        <f t="shared" ref="AH4" si="33">YEAR(AH3)&amp;"Q"&amp;MONTH(AH3)/3</f>
        <v>2023Q3</v>
      </c>
      <c r="AI4" s="11" t="str" cm="1">
        <f t="array" ref="AI4">YEAR(AI3)&amp;INDEX(TableYtd,MONTH(AI3),1)</f>
        <v>2023Jun</v>
      </c>
      <c r="AJ4" s="11" t="str">
        <f t="shared" ref="AJ4" si="34">YEAR(AJ3)&amp;"Q"&amp;MONTH(AJ3)/3</f>
        <v>2023Q2</v>
      </c>
      <c r="AK4" s="11" t="str" cm="1">
        <f t="array" ref="AK4">YEAR(AK3)&amp;INDEX(TableYtd,MONTH(AK3),1)</f>
        <v>2023Mar</v>
      </c>
      <c r="AL4" s="11" t="str">
        <f t="shared" ref="AL4" si="35">YEAR(AL3)&amp;"Q"&amp;MONTH(AL3)/3</f>
        <v>2023Q1</v>
      </c>
      <c r="AM4" s="232"/>
      <c r="AN4" s="11" t="str" cm="1">
        <f t="array" ref="AN4">YEAR(AN3)&amp;INDEX(TableYtd,MONTH(AN3),1)</f>
        <v>2022Dec</v>
      </c>
      <c r="AO4" s="11" t="str">
        <f t="shared" ref="AO4" si="36">YEAR(AO3)&amp;"Q"&amp;MONTH(AO3)/3</f>
        <v>2022Q4</v>
      </c>
      <c r="AP4" s="11" t="str" cm="1">
        <f t="array" ref="AP4">YEAR(AP3)&amp;INDEX(TableYtd,MONTH(AP3),1)</f>
        <v>2022Sep</v>
      </c>
      <c r="AQ4" s="11" t="str">
        <f t="shared" ref="AQ4" si="37">YEAR(AQ3)&amp;"Q"&amp;MONTH(AQ3)/3</f>
        <v>2022Q3</v>
      </c>
      <c r="AR4" s="11" t="str" cm="1">
        <f t="array" ref="AR4">YEAR(AR3)&amp;INDEX(TableYtd,MONTH(AR3),1)</f>
        <v>2022Jun</v>
      </c>
      <c r="AS4" s="11" t="str">
        <f t="shared" ref="AS4" si="38">YEAR(AS3)&amp;"Q"&amp;MONTH(AS3)/3</f>
        <v>2022Q2</v>
      </c>
      <c r="AT4" s="11" t="str" cm="1">
        <f t="array" ref="AT4">YEAR(AT3)&amp;INDEX(TableYtd,MONTH(AT3),1)</f>
        <v>2022Mar</v>
      </c>
      <c r="AU4" s="11" t="str">
        <f t="shared" ref="AU4" si="39">YEAR(AU3)&amp;"Q"&amp;MONTH(AU3)/3</f>
        <v>2022Q1</v>
      </c>
    </row>
    <row r="5" spans="1:47" ht="14.25" customHeight="1" collapsed="1" x14ac:dyDescent="0.2">
      <c r="D5" s="73"/>
    </row>
    <row r="6" spans="1:47" ht="17.399999999999999" x14ac:dyDescent="0.3">
      <c r="C6" s="121" t="s">
        <v>235</v>
      </c>
      <c r="D6" s="145"/>
      <c r="E6" s="146">
        <f>DateRef</f>
        <v>45930</v>
      </c>
      <c r="F6" s="147"/>
      <c r="O6" s="121" t="s">
        <v>249</v>
      </c>
    </row>
    <row r="7" spans="1:47" ht="17.399999999999999" x14ac:dyDescent="0.3">
      <c r="C7" s="179" t="s">
        <v>253</v>
      </c>
      <c r="D7" s="145"/>
      <c r="E7" s="146"/>
      <c r="F7" s="147"/>
    </row>
    <row r="8" spans="1:47" ht="12" x14ac:dyDescent="0.25">
      <c r="A8" s="171" t="s">
        <v>175</v>
      </c>
      <c r="B8" s="2"/>
      <c r="C8" s="14" t="s">
        <v>233</v>
      </c>
      <c r="D8" s="74"/>
      <c r="E8" s="15" t="str" cm="1">
        <f t="array" ref="E8">INDEX(TableYtd,MONTH(EOMONTH(DateRef,-12)),2)&amp;YEAR(DateRef)</f>
        <v>9M 2025</v>
      </c>
      <c r="F8" s="15" t="str" cm="1">
        <f t="array" ref="F8">INDEX(TableYtd,MONTH(EOMONTH(DateRef,-12)),2)&amp;YEAR(EOMONTH(DateRef,-12))</f>
        <v>9M 2024</v>
      </c>
      <c r="G8" s="53" t="s">
        <v>119</v>
      </c>
      <c r="I8" s="15" t="str">
        <f>RIGHT(I$4,2)&amp;" "&amp;LEFT(I$4,4)</f>
        <v>Q3 2025</v>
      </c>
      <c r="J8" s="15" t="str">
        <f>RIGHT(J$4,2)&amp;" "&amp;LEFT(J$4,4)</f>
        <v>Q3 2024</v>
      </c>
      <c r="K8" s="53" t="s">
        <v>119</v>
      </c>
      <c r="L8" s="15" t="str">
        <f>RIGHT(L$4,2)&amp;" "&amp;LEFT(L$4,4)</f>
        <v>Q2 2025</v>
      </c>
      <c r="M8" s="53" t="s">
        <v>120</v>
      </c>
      <c r="O8" s="15" t="str" cm="1">
        <f t="array" ref="O8">INDEX(TableYtd,MONTH(O$3),2)&amp;YEAR(O$3)</f>
        <v>9M 2025</v>
      </c>
      <c r="P8" s="15" t="str">
        <f>RIGHT(P$4,2)&amp;" "&amp;LEFT(P$4,4)</f>
        <v>Q3 2025</v>
      </c>
      <c r="Q8" s="15" t="str" cm="1">
        <f t="array" ref="Q8">INDEX(TableYtd,MONTH(Q$3),2)&amp;YEAR(Q$3)</f>
        <v>H1 2025</v>
      </c>
      <c r="R8" s="15" t="str">
        <f t="shared" ref="R8" si="40">RIGHT(R$4,2)&amp;" "&amp;LEFT(R$4,4)</f>
        <v>Q2 2025</v>
      </c>
      <c r="S8" s="15" t="str" cm="1">
        <f t="array" ref="S8">INDEX(TableYtd,MONTH(S$3),2)&amp;YEAR(S$3)</f>
        <v>Q1 2025</v>
      </c>
      <c r="T8" s="15" t="str">
        <f t="shared" ref="T8" si="41">RIGHT(T$4,2)&amp;" "&amp;LEFT(T$4,4)</f>
        <v>Q1 2025</v>
      </c>
      <c r="V8" s="15" t="str" cm="1">
        <f t="array" ref="V8">INDEX(TableYtd,MONTH(V$3),2)&amp;YEAR(V$3)</f>
        <v>FY 2024</v>
      </c>
      <c r="W8" s="15" t="str">
        <f t="shared" ref="W8" si="42">RIGHT(W$4,2)&amp;" "&amp;LEFT(W$4,4)</f>
        <v>Q4 2024</v>
      </c>
      <c r="X8" s="15" t="str" cm="1">
        <f t="array" ref="X8">INDEX(TableYtd,MONTH(X$3),2)&amp;YEAR(X$3)</f>
        <v>9M 2024</v>
      </c>
      <c r="Y8" s="15" t="str">
        <f t="shared" ref="Y8" si="43">RIGHT(Y$4,2)&amp;" "&amp;LEFT(Y$4,4)</f>
        <v>Q3 2024</v>
      </c>
      <c r="Z8" s="15" t="str" cm="1">
        <f t="array" ref="Z8">INDEX(TableYtd,MONTH(Z$3),2)&amp;YEAR(Z$3)</f>
        <v>H1 2024</v>
      </c>
      <c r="AA8" s="15" t="str">
        <f t="shared" ref="AA8" si="44">RIGHT(AA$4,2)&amp;" "&amp;LEFT(AA$4,4)</f>
        <v>Q2 2024</v>
      </c>
      <c r="AB8" s="15" t="str" cm="1">
        <f t="array" ref="AB8">INDEX(TableYtd,MONTH(AB$3),2)&amp;YEAR(AB$3)</f>
        <v>Q1 2024</v>
      </c>
      <c r="AC8" s="15" t="str">
        <f t="shared" ref="AC8" si="45">RIGHT(AC$4,2)&amp;" "&amp;LEFT(AC$4,4)</f>
        <v>Q1 2024</v>
      </c>
      <c r="AE8" s="15" t="str" cm="1">
        <f t="array" ref="AE8">INDEX(TableYtd,MONTH(AE$3),2)&amp;YEAR(AE$3)</f>
        <v>FY 2023</v>
      </c>
      <c r="AF8" s="15" t="str">
        <f t="shared" ref="AF8" si="46">RIGHT(AF$4,2)&amp;" "&amp;LEFT(AF$4,4)</f>
        <v>Q4 2023</v>
      </c>
      <c r="AG8" s="15" t="str" cm="1">
        <f t="array" ref="AG8">INDEX(TableYtd,MONTH(AG$3),2)&amp;YEAR(AG$3)</f>
        <v>9M 2023</v>
      </c>
      <c r="AH8" s="15" t="str">
        <f t="shared" ref="AH8" si="47">RIGHT(AH$4,2)&amp;" "&amp;LEFT(AH$4,4)</f>
        <v>Q3 2023</v>
      </c>
      <c r="AI8" s="15" t="str" cm="1">
        <f t="array" ref="AI8">INDEX(TableYtd,MONTH(AI$3),2)&amp;YEAR(AI$3)</f>
        <v>H1 2023</v>
      </c>
      <c r="AJ8" s="15" t="str">
        <f t="shared" ref="AJ8" si="48">RIGHT(AJ$4,2)&amp;" "&amp;LEFT(AJ$4,4)</f>
        <v>Q2 2023</v>
      </c>
      <c r="AK8" s="15" t="str" cm="1">
        <f t="array" ref="AK8">INDEX(TableYtd,MONTH(AK$3),2)&amp;YEAR(AK$3)</f>
        <v>Q1 2023</v>
      </c>
      <c r="AL8" s="15" t="str">
        <f t="shared" ref="AL8" si="49">RIGHT(AL$4,2)&amp;" "&amp;LEFT(AL$4,4)</f>
        <v>Q1 2023</v>
      </c>
      <c r="AN8" s="15" t="str" cm="1">
        <f t="array" ref="AN8">INDEX(TableYtd,MONTH(AN$3),2)&amp;YEAR(AN$3)</f>
        <v>FY 2022</v>
      </c>
      <c r="AO8" s="15" t="str">
        <f t="shared" ref="AO8" si="50">RIGHT(AO$4,2)&amp;" "&amp;LEFT(AO$4,4)</f>
        <v>Q4 2022</v>
      </c>
      <c r="AP8" s="15" t="str" cm="1">
        <f t="array" ref="AP8">INDEX(TableYtd,MONTH(AP$3),2)&amp;YEAR(AP$3)</f>
        <v>9M 2022</v>
      </c>
      <c r="AQ8" s="15" t="str">
        <f t="shared" ref="AQ8" si="51">RIGHT(AQ$4,2)&amp;" "&amp;LEFT(AQ$4,4)</f>
        <v>Q3 2022</v>
      </c>
      <c r="AR8" s="15" t="str" cm="1">
        <f t="array" ref="AR8">INDEX(TableYtd,MONTH(AR$3),2)&amp;YEAR(AR$3)</f>
        <v>H1 2022</v>
      </c>
      <c r="AS8" s="15" t="str">
        <f t="shared" ref="AS8" si="52">RIGHT(AS$4,2)&amp;" "&amp;LEFT(AS$4,4)</f>
        <v>Q2 2022</v>
      </c>
      <c r="AT8" s="15" t="str" cm="1">
        <f t="array" ref="AT8">INDEX(TableYtd,MONTH(AT$3),2)&amp;YEAR(AT$3)</f>
        <v>Q1 2022</v>
      </c>
      <c r="AU8" s="15" t="str">
        <f t="shared" ref="AU8" si="53">RIGHT(AU$4,2)&amp;" "&amp;LEFT(AU$4,4)</f>
        <v>Q1 2022</v>
      </c>
    </row>
    <row r="9" spans="1:47" ht="15" customHeight="1" x14ac:dyDescent="0.25">
      <c r="A9" s="11" t="s">
        <v>45</v>
      </c>
      <c r="B9" s="51"/>
      <c r="C9" s="279" t="s">
        <v>224</v>
      </c>
      <c r="D9" s="75"/>
      <c r="E9" s="280">
        <v>83.016157499999991</v>
      </c>
      <c r="F9" s="280">
        <v>79.625822900000003</v>
      </c>
      <c r="G9" s="266">
        <f t="shared" ref="G9:G13" si="54">IF(ISERROR($E9*F9),"NM",IF($E9*F9&gt;0,IF($E9/F9&gt;2,"NM",$E9/F9-1),"NM"))</f>
        <v>4.257833045264503E-2</v>
      </c>
      <c r="H9" s="281"/>
      <c r="I9" s="280">
        <v>27.544089540000002</v>
      </c>
      <c r="J9" s="280">
        <v>27.957980820000003</v>
      </c>
      <c r="K9" s="266">
        <f t="shared" ref="K9:M13" si="55">IF(ISERROR($I9*J9),"NM",IF($I9*J9&gt;0,IF($I9/J9&gt;2,"NM",$I9/J9-1),"NM"))</f>
        <v>-1.480404764080534E-2</v>
      </c>
      <c r="L9" s="280">
        <v>32.847244490000001</v>
      </c>
      <c r="M9" s="266">
        <f t="shared" si="55"/>
        <v>-0.1614490053074159</v>
      </c>
      <c r="O9" s="280">
        <v>83.016157499999991</v>
      </c>
      <c r="P9" s="280">
        <v>27.544089540000002</v>
      </c>
      <c r="Q9" s="280">
        <v>55.472067959999997</v>
      </c>
      <c r="R9" s="280">
        <v>32.847244490000001</v>
      </c>
      <c r="S9" s="280">
        <v>22.624823469999995</v>
      </c>
      <c r="T9" s="280">
        <v>22.624823469999995</v>
      </c>
      <c r="U9" s="281"/>
      <c r="V9" s="280">
        <v>103.84620576</v>
      </c>
      <c r="W9" s="280">
        <v>24.220382859999994</v>
      </c>
      <c r="X9" s="280">
        <v>79.625822900000003</v>
      </c>
      <c r="Y9" s="280">
        <v>27.957980820000003</v>
      </c>
      <c r="Z9" s="280">
        <v>51.66784208</v>
      </c>
      <c r="AA9" s="280">
        <v>27.598126180000001</v>
      </c>
      <c r="AB9" s="280">
        <v>24.069715899999998</v>
      </c>
      <c r="AC9" s="280">
        <v>24.069715899999998</v>
      </c>
      <c r="AD9" s="281"/>
      <c r="AE9" s="280">
        <v>78.996288829999997</v>
      </c>
      <c r="AF9" s="280">
        <v>24.834017730000003</v>
      </c>
      <c r="AG9" s="280">
        <v>54.162271099999998</v>
      </c>
      <c r="AH9" s="280">
        <v>19.46346149999999</v>
      </c>
      <c r="AI9" s="280">
        <v>34.698809600000004</v>
      </c>
      <c r="AJ9" s="280">
        <v>20.217832910000002</v>
      </c>
      <c r="AK9" s="280">
        <v>14.480976690000002</v>
      </c>
      <c r="AL9" s="280">
        <v>14.480976690000002</v>
      </c>
      <c r="AM9" s="281"/>
      <c r="AN9" s="280">
        <v>57.767018979999989</v>
      </c>
      <c r="AO9" s="280">
        <v>15.751355839999992</v>
      </c>
      <c r="AP9" s="280">
        <v>42.015663140000001</v>
      </c>
      <c r="AQ9" s="280">
        <v>16.851551310000001</v>
      </c>
      <c r="AR9" s="280">
        <v>25.16411183</v>
      </c>
      <c r="AS9" s="280">
        <v>13.173277159999998</v>
      </c>
      <c r="AT9" s="280">
        <v>11.990834670000002</v>
      </c>
      <c r="AU9" s="280">
        <v>11.990834670000002</v>
      </c>
    </row>
    <row r="10" spans="1:47" x14ac:dyDescent="0.2">
      <c r="A10" s="11" t="s">
        <v>46</v>
      </c>
      <c r="B10" s="51"/>
      <c r="C10" s="279" t="s">
        <v>225</v>
      </c>
      <c r="D10" s="86"/>
      <c r="E10" s="280">
        <v>8.8171820600000004</v>
      </c>
      <c r="F10" s="280">
        <v>7.3797577400000005</v>
      </c>
      <c r="G10" s="266">
        <f t="shared" si="54"/>
        <v>0.19477933702468664</v>
      </c>
      <c r="H10" s="281"/>
      <c r="I10" s="280">
        <v>3.2987221999999998</v>
      </c>
      <c r="J10" s="280">
        <v>2.3946180100000003</v>
      </c>
      <c r="K10" s="266">
        <f t="shared" si="55"/>
        <v>0.37755674860225397</v>
      </c>
      <c r="L10" s="280">
        <v>2.9462475100000001</v>
      </c>
      <c r="M10" s="266">
        <f t="shared" si="55"/>
        <v>0.11963512529196829</v>
      </c>
      <c r="O10" s="280">
        <v>8.8171820600000004</v>
      </c>
      <c r="P10" s="280">
        <v>3.2987221999999998</v>
      </c>
      <c r="Q10" s="280">
        <v>5.5184598600000001</v>
      </c>
      <c r="R10" s="280">
        <v>2.9462475100000001</v>
      </c>
      <c r="S10" s="280">
        <v>2.57221235</v>
      </c>
      <c r="T10" s="280">
        <v>2.57221235</v>
      </c>
      <c r="U10" s="281"/>
      <c r="V10" s="280">
        <v>10.64568753</v>
      </c>
      <c r="W10" s="280">
        <v>3.2659297899999995</v>
      </c>
      <c r="X10" s="280">
        <v>7.3797577400000005</v>
      </c>
      <c r="Y10" s="280">
        <v>2.3946180100000003</v>
      </c>
      <c r="Z10" s="280">
        <v>4.9851397300000002</v>
      </c>
      <c r="AA10" s="280">
        <v>2.5184138100000002</v>
      </c>
      <c r="AB10" s="280">
        <v>2.46672592</v>
      </c>
      <c r="AC10" s="280">
        <v>2.46672592</v>
      </c>
      <c r="AD10" s="281"/>
      <c r="AE10" s="280">
        <v>15.24076226</v>
      </c>
      <c r="AF10" s="280">
        <v>2.3166486200000005</v>
      </c>
      <c r="AG10" s="280">
        <v>12.92411364</v>
      </c>
      <c r="AH10" s="280">
        <v>2.8129127700000005</v>
      </c>
      <c r="AI10" s="280">
        <v>10.111200869999999</v>
      </c>
      <c r="AJ10" s="280">
        <v>4.4859821399999991</v>
      </c>
      <c r="AK10" s="280">
        <v>5.6252187300000003</v>
      </c>
      <c r="AL10" s="280">
        <v>5.6252187300000003</v>
      </c>
      <c r="AM10" s="281"/>
      <c r="AN10" s="280">
        <v>21.063379339999997</v>
      </c>
      <c r="AO10" s="280">
        <v>6.3848156700000001</v>
      </c>
      <c r="AP10" s="280">
        <v>14.678563669999999</v>
      </c>
      <c r="AQ10" s="280">
        <v>4.7389547699999994</v>
      </c>
      <c r="AR10" s="280">
        <v>9.9396088999999996</v>
      </c>
      <c r="AS10" s="280">
        <v>4.9731155699999992</v>
      </c>
      <c r="AT10" s="280">
        <v>4.9664933300000005</v>
      </c>
      <c r="AU10" s="280">
        <v>4.9664933300000005</v>
      </c>
    </row>
    <row r="11" spans="1:47" ht="12" x14ac:dyDescent="0.25">
      <c r="A11" s="11" t="s">
        <v>47</v>
      </c>
      <c r="B11" s="51"/>
      <c r="C11" s="279" t="s">
        <v>231</v>
      </c>
      <c r="D11" s="87"/>
      <c r="E11" s="280">
        <v>4.9092315499999994</v>
      </c>
      <c r="F11" s="280">
        <v>4.79308288</v>
      </c>
      <c r="G11" s="266">
        <f t="shared" si="54"/>
        <v>2.4232560318255825E-2</v>
      </c>
      <c r="H11" s="281"/>
      <c r="I11" s="280">
        <v>1.9574049099999997</v>
      </c>
      <c r="J11" s="280">
        <v>1.5459290499999998</v>
      </c>
      <c r="K11" s="266">
        <f t="shared" si="55"/>
        <v>0.26616736389034146</v>
      </c>
      <c r="L11" s="280">
        <v>1.5185621800000002</v>
      </c>
      <c r="M11" s="266">
        <f t="shared" si="55"/>
        <v>0.28898568381309175</v>
      </c>
      <c r="O11" s="280">
        <v>4.9092315499999994</v>
      </c>
      <c r="P11" s="280">
        <v>1.9574049099999997</v>
      </c>
      <c r="Q11" s="280">
        <v>2.9518266400000002</v>
      </c>
      <c r="R11" s="280">
        <v>1.5185621800000002</v>
      </c>
      <c r="S11" s="280">
        <v>1.43326446</v>
      </c>
      <c r="T11" s="280">
        <v>1.43326446</v>
      </c>
      <c r="U11" s="281"/>
      <c r="V11" s="280">
        <v>6.0868509500000005</v>
      </c>
      <c r="W11" s="280">
        <v>1.2937680700000005</v>
      </c>
      <c r="X11" s="280">
        <v>4.79308288</v>
      </c>
      <c r="Y11" s="280">
        <v>1.5459290499999998</v>
      </c>
      <c r="Z11" s="280">
        <v>3.2471538300000002</v>
      </c>
      <c r="AA11" s="280">
        <v>1.8152547600000002</v>
      </c>
      <c r="AB11" s="280">
        <v>1.4318990700000001</v>
      </c>
      <c r="AC11" s="280">
        <v>1.4318990700000001</v>
      </c>
      <c r="AD11" s="281"/>
      <c r="AE11" s="280">
        <v>5.5861657100000013</v>
      </c>
      <c r="AF11" s="280">
        <v>1.1810663000000006</v>
      </c>
      <c r="AG11" s="280">
        <v>4.40509941</v>
      </c>
      <c r="AH11" s="280">
        <v>1.120128</v>
      </c>
      <c r="AI11" s="280">
        <v>3.2849714100000003</v>
      </c>
      <c r="AJ11" s="280">
        <v>1.8625521400000002</v>
      </c>
      <c r="AK11" s="280">
        <v>1.42241927</v>
      </c>
      <c r="AL11" s="280">
        <v>1.42241927</v>
      </c>
      <c r="AM11" s="281"/>
      <c r="AN11" s="280">
        <v>5.8801173700000007</v>
      </c>
      <c r="AO11" s="280">
        <v>1.2033012800000003</v>
      </c>
      <c r="AP11" s="280">
        <v>4.67681609</v>
      </c>
      <c r="AQ11" s="280">
        <v>1.0282284699999997</v>
      </c>
      <c r="AR11" s="280">
        <v>3.6485876200000003</v>
      </c>
      <c r="AS11" s="280">
        <v>2.2273839100000004</v>
      </c>
      <c r="AT11" s="280">
        <v>1.4212037099999999</v>
      </c>
      <c r="AU11" s="280">
        <v>1.4212037099999999</v>
      </c>
    </row>
    <row r="12" spans="1:47" x14ac:dyDescent="0.2">
      <c r="A12" s="11" t="s">
        <v>48</v>
      </c>
      <c r="B12" s="51"/>
      <c r="C12" s="279" t="s">
        <v>255</v>
      </c>
      <c r="D12" s="88"/>
      <c r="E12" s="280">
        <f>E13-SUM(E9:E11)</f>
        <v>2.6248406499999959</v>
      </c>
      <c r="F12" s="280">
        <f t="shared" ref="F12:AU12" si="56">F13-SUM(F9:F11)</f>
        <v>2.2391382400000026</v>
      </c>
      <c r="G12" s="280">
        <f t="shared" si="56"/>
        <v>-0.20491504079364109</v>
      </c>
      <c r="H12" s="280"/>
      <c r="I12" s="280">
        <f t="shared" si="56"/>
        <v>0.87976047999999452</v>
      </c>
      <c r="J12" s="280">
        <f t="shared" si="56"/>
        <v>0.81073885000000701</v>
      </c>
      <c r="K12" s="280">
        <f t="shared" si="56"/>
        <v>-0.5992431415501227</v>
      </c>
      <c r="L12" s="280">
        <f t="shared" si="56"/>
        <v>0.85046969999999789</v>
      </c>
      <c r="M12" s="280">
        <f t="shared" si="56"/>
        <v>-0.3646311931214512</v>
      </c>
      <c r="N12" s="280"/>
      <c r="O12" s="280">
        <f t="shared" si="56"/>
        <v>2.6248406499999959</v>
      </c>
      <c r="P12" s="280">
        <f t="shared" si="56"/>
        <v>0.87976047999999452</v>
      </c>
      <c r="Q12" s="280">
        <f t="shared" si="56"/>
        <v>1.7450801700000014</v>
      </c>
      <c r="R12" s="280">
        <f t="shared" si="56"/>
        <v>0.85046969999999789</v>
      </c>
      <c r="S12" s="280">
        <f t="shared" si="56"/>
        <v>0.89461047000000349</v>
      </c>
      <c r="T12" s="280">
        <f t="shared" si="56"/>
        <v>0.89461046999999994</v>
      </c>
      <c r="U12" s="280"/>
      <c r="V12" s="280">
        <f t="shared" si="56"/>
        <v>2.7666815799999966</v>
      </c>
      <c r="W12" s="280">
        <f t="shared" si="56"/>
        <v>0.52754333999999403</v>
      </c>
      <c r="X12" s="280">
        <f t="shared" si="56"/>
        <v>2.2391382400000026</v>
      </c>
      <c r="Y12" s="280">
        <f t="shared" ref="Y12:AC12" si="57">Y13-SUM(Y9:Y11)</f>
        <v>0.81073885000000701</v>
      </c>
      <c r="Z12" s="280">
        <f t="shared" si="57"/>
        <v>1.4283993899999956</v>
      </c>
      <c r="AA12" s="280">
        <f t="shared" si="57"/>
        <v>0.80529803999999672</v>
      </c>
      <c r="AB12" s="280">
        <f t="shared" si="57"/>
        <v>0.62310134999999889</v>
      </c>
      <c r="AC12" s="280">
        <f t="shared" si="57"/>
        <v>0.62310134999999889</v>
      </c>
      <c r="AD12" s="280"/>
      <c r="AE12" s="280">
        <f t="shared" si="56"/>
        <v>2.1720105700000119</v>
      </c>
      <c r="AF12" s="280">
        <f t="shared" si="56"/>
        <v>0.52468912000000145</v>
      </c>
      <c r="AG12" s="280">
        <f t="shared" si="56"/>
        <v>1.6473214500000068</v>
      </c>
      <c r="AH12" s="280">
        <f t="shared" si="56"/>
        <v>0.56466020000000938</v>
      </c>
      <c r="AI12" s="280">
        <f t="shared" si="56"/>
        <v>1.0826612499999939</v>
      </c>
      <c r="AJ12" s="280">
        <f t="shared" si="56"/>
        <v>0.65287276999999477</v>
      </c>
      <c r="AK12" s="280">
        <f t="shared" si="56"/>
        <v>0.42978848000000269</v>
      </c>
      <c r="AL12" s="280">
        <f t="shared" si="56"/>
        <v>0.42978848000000269</v>
      </c>
      <c r="AM12" s="280"/>
      <c r="AN12" s="280">
        <f t="shared" si="56"/>
        <v>3.4407734600000026</v>
      </c>
      <c r="AO12" s="280">
        <f t="shared" si="56"/>
        <v>0.54448044000001161</v>
      </c>
      <c r="AP12" s="280">
        <f t="shared" si="56"/>
        <v>2.8962930200000017</v>
      </c>
      <c r="AQ12" s="280">
        <f t="shared" si="56"/>
        <v>0.88294331999999542</v>
      </c>
      <c r="AR12" s="280">
        <f t="shared" si="56"/>
        <v>2.0133496999999991</v>
      </c>
      <c r="AS12" s="280">
        <f t="shared" si="56"/>
        <v>0.63858750999999714</v>
      </c>
      <c r="AT12" s="280">
        <f t="shared" si="56"/>
        <v>1.3747621899999984</v>
      </c>
      <c r="AU12" s="280">
        <f t="shared" si="56"/>
        <v>1.3747621899999984</v>
      </c>
    </row>
    <row r="13" spans="1:47" ht="18" customHeight="1" x14ac:dyDescent="0.2">
      <c r="A13" s="283" t="s">
        <v>44</v>
      </c>
      <c r="B13" s="51"/>
      <c r="C13" s="206" t="s">
        <v>232</v>
      </c>
      <c r="D13" s="74"/>
      <c r="E13" s="282">
        <v>99.367411759999982</v>
      </c>
      <c r="F13" s="282">
        <v>94.037801760000008</v>
      </c>
      <c r="G13" s="198">
        <f t="shared" si="54"/>
        <v>5.6675187001946403E-2</v>
      </c>
      <c r="H13" s="195"/>
      <c r="I13" s="282">
        <v>33.679977129999997</v>
      </c>
      <c r="J13" s="282">
        <v>32.70926673000001</v>
      </c>
      <c r="K13" s="198">
        <f t="shared" si="55"/>
        <v>2.9676923301667379E-2</v>
      </c>
      <c r="L13" s="282">
        <v>38.162523880000002</v>
      </c>
      <c r="M13" s="198">
        <f t="shared" si="55"/>
        <v>-0.11745938932380706</v>
      </c>
      <c r="O13" s="282">
        <v>99.367411759999982</v>
      </c>
      <c r="P13" s="282">
        <v>33.679977129999997</v>
      </c>
      <c r="Q13" s="282">
        <v>65.687434629999998</v>
      </c>
      <c r="R13" s="282">
        <v>38.162523880000002</v>
      </c>
      <c r="S13" s="282">
        <v>27.52491075</v>
      </c>
      <c r="T13" s="282">
        <v>27.524910749999997</v>
      </c>
      <c r="U13" s="195"/>
      <c r="V13" s="282">
        <v>123.34542582</v>
      </c>
      <c r="W13" s="282">
        <v>29.307624059999988</v>
      </c>
      <c r="X13" s="282">
        <v>94.037801760000008</v>
      </c>
      <c r="Y13" s="282">
        <v>32.70926673000001</v>
      </c>
      <c r="Z13" s="282">
        <v>61.328535029999998</v>
      </c>
      <c r="AA13" s="282">
        <v>32.737092789999998</v>
      </c>
      <c r="AB13" s="282">
        <v>28.591442239999999</v>
      </c>
      <c r="AC13" s="282">
        <v>28.591442239999999</v>
      </c>
      <c r="AD13" s="195"/>
      <c r="AE13" s="282">
        <v>101.99522737000001</v>
      </c>
      <c r="AF13" s="282">
        <v>28.856421770000004</v>
      </c>
      <c r="AG13" s="282">
        <v>73.138805600000012</v>
      </c>
      <c r="AH13" s="282">
        <v>23.961162470000001</v>
      </c>
      <c r="AI13" s="282">
        <v>49.177643129999993</v>
      </c>
      <c r="AJ13" s="282">
        <v>27.219239959999999</v>
      </c>
      <c r="AK13" s="282">
        <v>21.958403170000004</v>
      </c>
      <c r="AL13" s="282">
        <v>21.958403170000004</v>
      </c>
      <c r="AM13" s="195"/>
      <c r="AN13" s="282">
        <v>88.151289149999997</v>
      </c>
      <c r="AO13" s="282">
        <v>23.883953230000003</v>
      </c>
      <c r="AP13" s="282">
        <v>64.267335920000008</v>
      </c>
      <c r="AQ13" s="282">
        <v>23.501677869999995</v>
      </c>
      <c r="AR13" s="282">
        <v>40.765658049999999</v>
      </c>
      <c r="AS13" s="282">
        <v>21.012364149999993</v>
      </c>
      <c r="AT13" s="282">
        <v>19.753293900000003</v>
      </c>
      <c r="AU13" s="282">
        <v>19.753293900000003</v>
      </c>
    </row>
    <row r="14" spans="1:47" ht="14.1" hidden="1" customHeight="1" outlineLevel="1" x14ac:dyDescent="0.2">
      <c r="A14" s="270"/>
      <c r="B14" s="270"/>
      <c r="C14" s="270"/>
      <c r="D14" s="271"/>
      <c r="E14" s="272">
        <f>ROUND(E13-SUM(E9:E12),3)</f>
        <v>0</v>
      </c>
      <c r="F14" s="272">
        <f>ROUND(F13-SUM(F9:F12),3)</f>
        <v>0</v>
      </c>
      <c r="G14" s="270"/>
      <c r="H14" s="270"/>
      <c r="I14" s="272">
        <f>ROUND(I13-SUM(I9:I12),3)</f>
        <v>0</v>
      </c>
      <c r="J14" s="272">
        <f>ROUND(J13-SUM(J9:J12),3)</f>
        <v>0</v>
      </c>
      <c r="K14" s="270"/>
      <c r="L14" s="272">
        <f>ROUND(L13-SUM(L9:L12),3)</f>
        <v>0</v>
      </c>
      <c r="M14" s="270"/>
      <c r="N14" s="270"/>
      <c r="O14" s="272">
        <f>ROUND(O13-SUM(O9:O12),3)</f>
        <v>0</v>
      </c>
      <c r="P14" s="272">
        <f>ROUND(P13-SUM(P9:P12),3)</f>
        <v>0</v>
      </c>
      <c r="Q14" s="272">
        <f t="shared" ref="Q14:AC14" si="58">ROUND(Q13-SUM(Q9:Q12),3)</f>
        <v>0</v>
      </c>
      <c r="R14" s="272">
        <f t="shared" si="58"/>
        <v>0</v>
      </c>
      <c r="S14" s="272">
        <f t="shared" si="58"/>
        <v>0</v>
      </c>
      <c r="T14" s="272">
        <f t="shared" si="58"/>
        <v>0</v>
      </c>
      <c r="U14" s="270"/>
      <c r="V14" s="272">
        <f t="shared" si="58"/>
        <v>0</v>
      </c>
      <c r="W14" s="272">
        <f t="shared" si="58"/>
        <v>0</v>
      </c>
      <c r="X14" s="272">
        <f t="shared" si="58"/>
        <v>0</v>
      </c>
      <c r="Y14" s="272">
        <f t="shared" si="58"/>
        <v>0</v>
      </c>
      <c r="Z14" s="272">
        <f t="shared" si="58"/>
        <v>0</v>
      </c>
      <c r="AA14" s="272">
        <f t="shared" si="58"/>
        <v>0</v>
      </c>
      <c r="AB14" s="272">
        <f t="shared" si="58"/>
        <v>0</v>
      </c>
      <c r="AC14" s="272">
        <f t="shared" si="58"/>
        <v>0</v>
      </c>
      <c r="AD14" s="270"/>
      <c r="AE14" s="272">
        <f t="shared" ref="AE14:AL14" si="59">ROUND(AE13-SUM(AE9:AE12),3)</f>
        <v>0</v>
      </c>
      <c r="AF14" s="272">
        <f t="shared" si="59"/>
        <v>0</v>
      </c>
      <c r="AG14" s="272">
        <f t="shared" si="59"/>
        <v>0</v>
      </c>
      <c r="AH14" s="272">
        <f t="shared" si="59"/>
        <v>0</v>
      </c>
      <c r="AI14" s="272">
        <f t="shared" si="59"/>
        <v>0</v>
      </c>
      <c r="AJ14" s="272">
        <f t="shared" si="59"/>
        <v>0</v>
      </c>
      <c r="AK14" s="272">
        <f t="shared" si="59"/>
        <v>0</v>
      </c>
      <c r="AL14" s="272">
        <f t="shared" si="59"/>
        <v>0</v>
      </c>
      <c r="AM14" s="270"/>
      <c r="AN14" s="272">
        <f t="shared" ref="AN14:AU14" si="60">ROUND(AN13-SUM(AN9:AN12),3)</f>
        <v>0</v>
      </c>
      <c r="AO14" s="272">
        <f t="shared" si="60"/>
        <v>0</v>
      </c>
      <c r="AP14" s="272">
        <f t="shared" si="60"/>
        <v>0</v>
      </c>
      <c r="AQ14" s="272">
        <f t="shared" si="60"/>
        <v>0</v>
      </c>
      <c r="AR14" s="272">
        <f t="shared" si="60"/>
        <v>0</v>
      </c>
      <c r="AS14" s="272">
        <f t="shared" si="60"/>
        <v>0</v>
      </c>
      <c r="AT14" s="272">
        <f t="shared" si="60"/>
        <v>0</v>
      </c>
      <c r="AU14" s="272">
        <f t="shared" si="60"/>
        <v>0</v>
      </c>
    </row>
    <row r="15" spans="1:47" ht="12" collapsed="1" x14ac:dyDescent="0.2">
      <c r="H15" s="59" t="s">
        <v>331</v>
      </c>
      <c r="I15" s="59" t="s">
        <v>331</v>
      </c>
      <c r="J15" s="59"/>
      <c r="K15" s="59" t="s">
        <v>331</v>
      </c>
      <c r="L15" s="59"/>
      <c r="N15" s="59" t="s">
        <v>331</v>
      </c>
      <c r="O15" s="59" t="s">
        <v>331</v>
      </c>
      <c r="P15" s="59" t="s">
        <v>331</v>
      </c>
      <c r="Q15" s="59" t="s">
        <v>331</v>
      </c>
      <c r="R15" s="59" t="s">
        <v>331</v>
      </c>
      <c r="S15" s="59" t="s">
        <v>331</v>
      </c>
      <c r="T15" s="59" t="s">
        <v>331</v>
      </c>
      <c r="U15" s="59" t="s">
        <v>331</v>
      </c>
      <c r="Y15" s="59" t="s">
        <v>331</v>
      </c>
      <c r="Z15" s="59" t="s">
        <v>331</v>
      </c>
      <c r="AA15" s="59" t="s">
        <v>331</v>
      </c>
      <c r="AD15" s="59" t="s">
        <v>331</v>
      </c>
      <c r="AE15" s="59" t="s">
        <v>331</v>
      </c>
      <c r="AF15" s="59" t="s">
        <v>331</v>
      </c>
      <c r="AG15" s="59" t="s">
        <v>331</v>
      </c>
      <c r="AH15" s="59" t="s">
        <v>331</v>
      </c>
      <c r="AI15" s="59" t="s">
        <v>331</v>
      </c>
      <c r="AJ15" s="59" t="s">
        <v>331</v>
      </c>
      <c r="AM15" s="59" t="s">
        <v>331</v>
      </c>
      <c r="AN15" s="59" t="s">
        <v>331</v>
      </c>
      <c r="AO15" s="59" t="s">
        <v>331</v>
      </c>
      <c r="AP15" s="59" t="s">
        <v>331</v>
      </c>
      <c r="AQ15" s="59" t="s">
        <v>331</v>
      </c>
      <c r="AR15" s="59" t="s">
        <v>331</v>
      </c>
      <c r="AS15" s="59" t="s">
        <v>331</v>
      </c>
    </row>
    <row r="16" spans="1:47" ht="17.399999999999999" x14ac:dyDescent="0.3">
      <c r="C16" s="179" t="s">
        <v>254</v>
      </c>
      <c r="D16" s="145"/>
      <c r="E16" s="146"/>
      <c r="F16" s="147"/>
    </row>
    <row r="17" spans="1:47" ht="27.75" customHeight="1" x14ac:dyDescent="0.25">
      <c r="A17" s="171" t="s">
        <v>175</v>
      </c>
      <c r="B17" s="2"/>
      <c r="C17" s="14" t="s">
        <v>127</v>
      </c>
      <c r="D17" s="74"/>
      <c r="E17" s="62" t="str">
        <f>"AuM 
"&amp;TEXT(DAY(E$1),"00")&amp;"."&amp;TEXT(MONTH(E$1),"00")&amp;"."&amp;YEAR(E$1)</f>
        <v>AuM 
30.09.2025</v>
      </c>
      <c r="F17" s="62" t="str">
        <f>"AuM 
"&amp;TEXT(DAY(F$1),"00")&amp;"."&amp;TEXT(MONTH(F$1),"00")&amp;"."&amp;YEAR(F$1)</f>
        <v>AuM 
30.09.2024</v>
      </c>
      <c r="G17" s="62" t="str">
        <f>"%ch. 
/ "&amp;TEXT(DAY(F$1),"00")&amp;"."&amp;TEXT(MONTH(F$1),"00")&amp;"."&amp;YEAR(F$1)</f>
        <v>%ch. 
/ 30.09.2024</v>
      </c>
      <c r="I17" s="62" t="str">
        <f>"AuM 
"&amp;TEXT(DAY(I$1),"00")&amp;"."&amp;TEXT(MONTH(I$1),"00")&amp;"."&amp;YEAR(I$1)</f>
        <v>AuM 
30.06.2025</v>
      </c>
      <c r="J17" s="62" t="str">
        <f>"%ch. 
/ "&amp;TEXT(DAY(I$1),"00")&amp;"."&amp;TEXT(MONTH(I$1),"00")&amp;"."&amp;YEAR(I$1)</f>
        <v>%ch. 
/ 30.06.2025</v>
      </c>
      <c r="L17" s="62" t="str">
        <f>"AuM 
"&amp;TEXT(DAY(L$1),"00")&amp;"."&amp;TEXT(MONTH(L$1),"00")&amp;"."&amp;YEAR(L$1)</f>
        <v>AuM 
30.06.2025</v>
      </c>
      <c r="M17" s="62" t="str">
        <f>"%ch. 
/ "&amp;TEXT(DAY(L$1),"00")&amp;"."&amp;TEXT(MONTH(L$1),"00")&amp;"."&amp;YEAR(L$1)</f>
        <v>%ch. 
/ 30.06.2025</v>
      </c>
      <c r="O17" s="62" t="str">
        <f>"AuM 
"&amp;TEXT(DAY(O$1),"00")&amp;"."&amp;TEXT(MONTH(O$1),"00")&amp;"."&amp;YEAR(O$1)</f>
        <v>AuM 
30.09.2025</v>
      </c>
      <c r="P17" s="157"/>
      <c r="Q17" s="62" t="str">
        <f>"AuM 
"&amp;TEXT(DAY(Q$1),"00")&amp;"."&amp;TEXT(MONTH(Q$1),"00")&amp;"."&amp;YEAR(Q$1)</f>
        <v>AuM 
30.06.2025</v>
      </c>
      <c r="R17" s="157"/>
      <c r="S17" s="62" t="str">
        <f>"AuM 
"&amp;TEXT(DAY(S$1),"00")&amp;"."&amp;TEXT(MONTH(S$1),"00")&amp;"."&amp;YEAR(S$1)</f>
        <v>AuM 
31.03.2025</v>
      </c>
      <c r="T17" s="157"/>
      <c r="V17" s="62" t="str">
        <f>"AuM 
"&amp;TEXT(DAY(V$1),"00")&amp;"."&amp;TEXT(MONTH(V$1),"00")&amp;"."&amp;YEAR(V$1)</f>
        <v>AuM 
31.12.2024</v>
      </c>
      <c r="W17" s="157"/>
      <c r="X17" s="62" t="str">
        <f>"AuM 
"&amp;TEXT(DAY(X$1),"00")&amp;"."&amp;TEXT(MONTH(X$1),"00")&amp;"."&amp;YEAR(X$1)</f>
        <v>AuM 
30.09.2024</v>
      </c>
      <c r="Y17" s="157"/>
      <c r="Z17" s="62" t="str">
        <f>"AuM 
"&amp;TEXT(DAY(Z$1),"00")&amp;"."&amp;TEXT(MONTH(Z$1),"00")&amp;"."&amp;YEAR(Z$1)</f>
        <v>AuM 
30.06.2024</v>
      </c>
      <c r="AA17" s="157"/>
      <c r="AB17" s="62" t="str">
        <f>"AuM 
"&amp;TEXT(DAY(AB$1),"00")&amp;"."&amp;TEXT(MONTH(AB$1),"00")&amp;"."&amp;YEAR(AB$1)</f>
        <v>AuM 
31.03.2024</v>
      </c>
      <c r="AC17" s="157"/>
      <c r="AE17" s="62" t="str">
        <f>"AuM 
"&amp;TEXT(DAY(AE$1),"00")&amp;"."&amp;TEXT(MONTH(AE$1),"00")&amp;"."&amp;YEAR(AE$1)</f>
        <v>AuM 
30.06.2024</v>
      </c>
      <c r="AF17" s="157"/>
      <c r="AG17" s="62" t="str">
        <f>"AuM 
"&amp;TEXT(DAY(AG$1),"00")&amp;"."&amp;TEXT(MONTH(AG$1),"00")&amp;"."&amp;YEAR(AG$1)</f>
        <v>AuM 
31.03.2024</v>
      </c>
      <c r="AH17" s="157"/>
      <c r="AI17" s="62" t="str">
        <f>"AuM 
"&amp;TEXT(DAY(AI$1),"00")&amp;"."&amp;TEXT(MONTH(AI$1),"00")&amp;"."&amp;YEAR(AI$1)</f>
        <v>AuM 
31.12.2023</v>
      </c>
      <c r="AJ17" s="157"/>
      <c r="AK17" s="62" t="str">
        <f>"AuM 
"&amp;TEXT(DAY(AK$1),"00")&amp;"."&amp;TEXT(MONTH(AK$1),"00")&amp;"."&amp;YEAR(AK$1)</f>
        <v>AuM 
30.09.2023</v>
      </c>
      <c r="AL17" s="157"/>
      <c r="AN17" s="62" t="str">
        <f>"AuM 
"&amp;TEXT(DAY(AN$1),"00")&amp;"."&amp;TEXT(MONTH(AN$1),"00")&amp;"."&amp;YEAR(AN$1)</f>
        <v>AuM 
30.06.2023</v>
      </c>
      <c r="AO17" s="157"/>
      <c r="AP17" s="62" t="str">
        <f>"AuM 
"&amp;TEXT(DAY(AP$1),"00")&amp;"."&amp;TEXT(MONTH(AP$1),"00")&amp;"."&amp;YEAR(AP$1)</f>
        <v>AuM 
31.03.2023</v>
      </c>
      <c r="AQ17" s="157"/>
      <c r="AR17" s="62" t="str">
        <f>"AuM 
"&amp;TEXT(DAY(AR$1),"00")&amp;"."&amp;TEXT(MONTH(AR$1),"00")&amp;"."&amp;YEAR(AR$1)</f>
        <v>AuM 
31.12.2022</v>
      </c>
      <c r="AS17" s="157"/>
      <c r="AT17" s="62" t="str">
        <f>"AuM 
"&amp;TEXT(DAY(AT$1),"00")&amp;"."&amp;TEXT(MONTH(AT$1),"00")&amp;"."&amp;YEAR(AT$1)</f>
        <v>AuM 
30.09.2022</v>
      </c>
      <c r="AU17" s="157"/>
    </row>
    <row r="18" spans="1:47" ht="15" customHeight="1" x14ac:dyDescent="0.25">
      <c r="A18" s="61" t="s">
        <v>214</v>
      </c>
      <c r="B18" s="51"/>
      <c r="C18" s="114" t="s">
        <v>224</v>
      </c>
      <c r="D18" s="75"/>
      <c r="E18" s="265">
        <v>268780992852.31</v>
      </c>
      <c r="F18" s="265">
        <v>278300512414.10999</v>
      </c>
      <c r="G18" s="266">
        <f t="shared" ref="G18:J22" si="61">IF(ISERROR($E18*F18),"NM",IF($E18*F18&gt;0,IF($E18/F18&gt;2,"NM",$E18/F18-1),"NM"))</f>
        <v>-3.4205900230736885E-2</v>
      </c>
      <c r="H18" s="193"/>
      <c r="I18" s="265">
        <v>276070960624.31</v>
      </c>
      <c r="J18" s="266">
        <f t="shared" si="61"/>
        <v>-2.640613759416921E-2</v>
      </c>
      <c r="L18" s="265">
        <v>291782390522.29999</v>
      </c>
      <c r="M18" s="266">
        <f t="shared" ref="M18:M22" si="62">IF(ISERROR($E18*L18),"NM",IF($E18*L18&gt;0,IF($E18/L18&gt;2,"NM",$E18/L18-1),"NM"))</f>
        <v>-7.8830657425270734E-2</v>
      </c>
      <c r="O18" s="265">
        <v>268780992852.31</v>
      </c>
      <c r="P18" s="157"/>
      <c r="Q18" s="265">
        <v>276070960624.31</v>
      </c>
      <c r="R18" s="157"/>
      <c r="S18" s="265">
        <v>281201319898.91003</v>
      </c>
      <c r="T18" s="157"/>
      <c r="U18" s="193"/>
      <c r="V18" s="265">
        <v>291782390522.29999</v>
      </c>
      <c r="W18" s="157"/>
      <c r="X18" s="265">
        <v>278300512414.10999</v>
      </c>
      <c r="Y18" s="157"/>
      <c r="Z18" s="265">
        <v>274601648193.41</v>
      </c>
      <c r="AA18" s="157"/>
      <c r="AB18" s="265">
        <v>252110771066.15997</v>
      </c>
      <c r="AC18" s="157"/>
      <c r="AD18" s="193"/>
      <c r="AE18" s="265">
        <v>274601648193.41</v>
      </c>
      <c r="AF18" s="157"/>
      <c r="AG18" s="265">
        <v>252110771066.15997</v>
      </c>
      <c r="AH18" s="157"/>
      <c r="AI18" s="265">
        <v>236964739835.10999</v>
      </c>
      <c r="AJ18" s="157"/>
      <c r="AK18" s="265">
        <v>234204439564.64999</v>
      </c>
      <c r="AL18" s="157"/>
      <c r="AM18" s="193"/>
      <c r="AN18" s="265">
        <v>222363343146.19</v>
      </c>
      <c r="AO18" s="157"/>
      <c r="AP18" s="265">
        <v>210266488196.76996</v>
      </c>
      <c r="AQ18" s="157"/>
      <c r="AR18" s="265">
        <v>209121952707.30002</v>
      </c>
      <c r="AS18" s="157"/>
      <c r="AT18" s="265">
        <v>223220535351.94003</v>
      </c>
      <c r="AU18" s="157"/>
    </row>
    <row r="19" spans="1:47" x14ac:dyDescent="0.2">
      <c r="A19" s="61" t="s">
        <v>215</v>
      </c>
      <c r="B19" s="51"/>
      <c r="C19" s="114" t="s">
        <v>225</v>
      </c>
      <c r="D19" s="86"/>
      <c r="E19" s="265">
        <v>45497979142.449997</v>
      </c>
      <c r="F19" s="265">
        <v>43496460916.599998</v>
      </c>
      <c r="G19" s="266">
        <f t="shared" si="61"/>
        <v>4.6015656990753939E-2</v>
      </c>
      <c r="H19" s="193"/>
      <c r="I19" s="265">
        <v>44514442493.220001</v>
      </c>
      <c r="J19" s="266">
        <f t="shared" si="61"/>
        <v>2.2094776305011443E-2</v>
      </c>
      <c r="L19" s="265">
        <v>40578050269.709991</v>
      </c>
      <c r="M19" s="266">
        <f t="shared" si="62"/>
        <v>0.12124606382117253</v>
      </c>
      <c r="O19" s="265">
        <v>45497979142.449997</v>
      </c>
      <c r="P19" s="157"/>
      <c r="Q19" s="265">
        <v>44514442493.220001</v>
      </c>
      <c r="R19" s="157"/>
      <c r="S19" s="265">
        <v>41645767938.719994</v>
      </c>
      <c r="T19" s="157"/>
      <c r="U19" s="193"/>
      <c r="V19" s="265">
        <v>40578050269.709991</v>
      </c>
      <c r="W19" s="157"/>
      <c r="X19" s="265">
        <v>43496460916.599998</v>
      </c>
      <c r="Y19" s="157"/>
      <c r="Z19" s="265">
        <v>43394217902.460007</v>
      </c>
      <c r="AA19" s="157"/>
      <c r="AB19" s="265">
        <v>43904861307.909996</v>
      </c>
      <c r="AC19" s="157"/>
      <c r="AD19" s="193"/>
      <c r="AE19" s="265">
        <v>43394217902.460007</v>
      </c>
      <c r="AF19" s="157"/>
      <c r="AG19" s="265">
        <v>43904861307.909996</v>
      </c>
      <c r="AH19" s="157"/>
      <c r="AI19" s="265">
        <v>42903443573.449997</v>
      </c>
      <c r="AJ19" s="157"/>
      <c r="AK19" s="265">
        <v>39490010743.750008</v>
      </c>
      <c r="AL19" s="157"/>
      <c r="AM19" s="193"/>
      <c r="AN19" s="265">
        <v>39317522149.559998</v>
      </c>
      <c r="AO19" s="157"/>
      <c r="AP19" s="265">
        <v>39141800616.599991</v>
      </c>
      <c r="AQ19" s="157"/>
      <c r="AR19" s="265">
        <v>38101439440.309998</v>
      </c>
      <c r="AS19" s="157"/>
      <c r="AT19" s="265">
        <v>38013477259.560005</v>
      </c>
      <c r="AU19" s="157"/>
    </row>
    <row r="20" spans="1:47" ht="12" x14ac:dyDescent="0.25">
      <c r="A20" s="61" t="s">
        <v>216</v>
      </c>
      <c r="B20" s="51"/>
      <c r="C20" s="114" t="s">
        <v>231</v>
      </c>
      <c r="D20" s="87"/>
      <c r="E20" s="265">
        <v>32874458765.32</v>
      </c>
      <c r="F20" s="265">
        <v>32047013003.800003</v>
      </c>
      <c r="G20" s="266">
        <f t="shared" si="61"/>
        <v>2.581974680204624E-2</v>
      </c>
      <c r="H20" s="193"/>
      <c r="I20" s="265">
        <v>31611816765.019997</v>
      </c>
      <c r="J20" s="266">
        <f t="shared" si="61"/>
        <v>3.9942089051242968E-2</v>
      </c>
      <c r="L20" s="265">
        <v>33373148858.549999</v>
      </c>
      <c r="M20" s="266">
        <f t="shared" si="62"/>
        <v>-1.494285406940965E-2</v>
      </c>
      <c r="O20" s="265">
        <v>32874458765.32</v>
      </c>
      <c r="P20" s="157"/>
      <c r="Q20" s="265">
        <v>31611816765.019997</v>
      </c>
      <c r="R20" s="157"/>
      <c r="S20" s="265">
        <v>32721352109.109997</v>
      </c>
      <c r="T20" s="157"/>
      <c r="U20" s="193"/>
      <c r="V20" s="265">
        <v>33373148858.549999</v>
      </c>
      <c r="W20" s="157"/>
      <c r="X20" s="265">
        <v>32047013003.800003</v>
      </c>
      <c r="Y20" s="157"/>
      <c r="Z20" s="265">
        <v>32997279196.599998</v>
      </c>
      <c r="AA20" s="157"/>
      <c r="AB20" s="265">
        <v>31236438792.780003</v>
      </c>
      <c r="AC20" s="157"/>
      <c r="AD20" s="193"/>
      <c r="AE20" s="265">
        <v>32997279196.599998</v>
      </c>
      <c r="AF20" s="157"/>
      <c r="AG20" s="265">
        <v>31236438792.780003</v>
      </c>
      <c r="AH20" s="157"/>
      <c r="AI20" s="265">
        <v>30976870614.32</v>
      </c>
      <c r="AJ20" s="157"/>
      <c r="AK20" s="265">
        <v>31251894328.419998</v>
      </c>
      <c r="AL20" s="157"/>
      <c r="AM20" s="193"/>
      <c r="AN20" s="265">
        <v>31055720169.850002</v>
      </c>
      <c r="AO20" s="157"/>
      <c r="AP20" s="265">
        <v>38604758965.340004</v>
      </c>
      <c r="AQ20" s="157"/>
      <c r="AR20" s="265">
        <v>43961522821.080002</v>
      </c>
      <c r="AS20" s="157"/>
      <c r="AT20" s="265">
        <v>53592436258.530006</v>
      </c>
      <c r="AU20" s="157"/>
    </row>
    <row r="21" spans="1:47" x14ac:dyDescent="0.2">
      <c r="A21" s="61" t="s">
        <v>217</v>
      </c>
      <c r="B21" s="51"/>
      <c r="C21" s="114" t="s">
        <v>255</v>
      </c>
      <c r="D21" s="88"/>
      <c r="E21" s="265">
        <v>5521496717.1100006</v>
      </c>
      <c r="F21" s="265">
        <v>4449499662.1700001</v>
      </c>
      <c r="G21" s="266">
        <f t="shared" si="61"/>
        <v>0.24092530314232952</v>
      </c>
      <c r="H21" s="193"/>
      <c r="I21" s="265">
        <v>5017158459.0699997</v>
      </c>
      <c r="J21" s="266">
        <f t="shared" si="61"/>
        <v>0.10052268871999859</v>
      </c>
      <c r="L21" s="265">
        <v>4760670713.6999998</v>
      </c>
      <c r="M21" s="266">
        <f t="shared" si="62"/>
        <v>0.15981487676107009</v>
      </c>
      <c r="O21" s="265">
        <f>O22-SUM(O18:O20)</f>
        <v>7064238693.5700684</v>
      </c>
      <c r="P21" s="157"/>
      <c r="Q21" s="265">
        <f t="shared" ref="Q21:AT21" si="63">Q22-SUM(Q18:Q20)</f>
        <v>6450062228.0198364</v>
      </c>
      <c r="R21" s="157"/>
      <c r="S21" s="265">
        <f t="shared" si="63"/>
        <v>6339544019.0198975</v>
      </c>
      <c r="T21" s="157"/>
      <c r="U21" s="265"/>
      <c r="V21" s="265">
        <f t="shared" si="63"/>
        <v>6132993960.7299805</v>
      </c>
      <c r="W21" s="157"/>
      <c r="X21" s="265">
        <f t="shared" si="63"/>
        <v>5671349790.2000732</v>
      </c>
      <c r="Y21" s="157"/>
      <c r="Z21" s="265">
        <f t="shared" ref="Z21" si="64">Z22-SUM(Z18:Z20)</f>
        <v>5480168430.1800537</v>
      </c>
      <c r="AA21" s="157"/>
      <c r="AB21" s="265">
        <f t="shared" ref="AB21" si="65">AB22-SUM(AB18:AB20)</f>
        <v>5170286637.7000732</v>
      </c>
      <c r="AC21" s="157"/>
      <c r="AD21" s="265"/>
      <c r="AE21" s="265">
        <f t="shared" si="63"/>
        <v>5480168430.1800537</v>
      </c>
      <c r="AF21" s="157"/>
      <c r="AG21" s="265">
        <f t="shared" si="63"/>
        <v>5170286637.7000732</v>
      </c>
      <c r="AH21" s="157"/>
      <c r="AI21" s="265">
        <f t="shared" si="63"/>
        <v>4971834368.289978</v>
      </c>
      <c r="AJ21" s="157"/>
      <c r="AK21" s="265">
        <f t="shared" si="63"/>
        <v>5008828839.1400146</v>
      </c>
      <c r="AL21" s="157"/>
      <c r="AM21" s="265"/>
      <c r="AN21" s="265">
        <f t="shared" si="63"/>
        <v>4787666739.1799927</v>
      </c>
      <c r="AO21" s="157"/>
      <c r="AP21" s="265">
        <f t="shared" si="63"/>
        <v>4267182649.0800781</v>
      </c>
      <c r="AQ21" s="157"/>
      <c r="AR21" s="265">
        <f t="shared" si="63"/>
        <v>4338409295.0998535</v>
      </c>
      <c r="AS21" s="157"/>
      <c r="AT21" s="265">
        <f t="shared" si="63"/>
        <v>4666020177.789917</v>
      </c>
      <c r="AU21" s="157"/>
    </row>
    <row r="22" spans="1:47" ht="18" customHeight="1" x14ac:dyDescent="0.2">
      <c r="A22" s="60" t="s">
        <v>143</v>
      </c>
      <c r="B22" s="51"/>
      <c r="C22" s="206" t="s">
        <v>232</v>
      </c>
      <c r="D22" s="74"/>
      <c r="E22" s="267">
        <v>354217669453.65009</v>
      </c>
      <c r="F22" s="267">
        <v>359515336124.71002</v>
      </c>
      <c r="G22" s="198">
        <f t="shared" si="61"/>
        <v>-1.4735579094245499E-2</v>
      </c>
      <c r="H22" s="195"/>
      <c r="I22" s="267">
        <v>358647282110.56989</v>
      </c>
      <c r="J22" s="198">
        <f t="shared" si="61"/>
        <v>-1.2350888680523031E-2</v>
      </c>
      <c r="L22" s="267">
        <v>371866583611.28998</v>
      </c>
      <c r="M22" s="198">
        <f t="shared" si="62"/>
        <v>-4.7460339098627347E-2</v>
      </c>
      <c r="O22" s="267">
        <v>354217669453.65009</v>
      </c>
      <c r="P22" s="208"/>
      <c r="Q22" s="267">
        <v>358647282110.56989</v>
      </c>
      <c r="R22" s="208"/>
      <c r="S22" s="267">
        <v>361907983965.75989</v>
      </c>
      <c r="T22" s="208"/>
      <c r="U22" s="195"/>
      <c r="V22" s="267">
        <v>371866583611.28998</v>
      </c>
      <c r="W22" s="208"/>
      <c r="X22" s="267">
        <v>359515336124.71002</v>
      </c>
      <c r="Y22" s="208"/>
      <c r="Z22" s="267">
        <v>356473313722.65002</v>
      </c>
      <c r="AA22" s="208"/>
      <c r="AB22" s="267">
        <v>332422357804.55005</v>
      </c>
      <c r="AC22" s="208"/>
      <c r="AD22" s="195"/>
      <c r="AE22" s="267">
        <v>356473313722.65002</v>
      </c>
      <c r="AF22" s="208"/>
      <c r="AG22" s="267">
        <v>332422357804.55005</v>
      </c>
      <c r="AH22" s="208"/>
      <c r="AI22" s="267">
        <v>315816888391.16998</v>
      </c>
      <c r="AJ22" s="208"/>
      <c r="AK22" s="267">
        <v>309955173475.96002</v>
      </c>
      <c r="AL22" s="208"/>
      <c r="AM22" s="195"/>
      <c r="AN22" s="267">
        <v>297524252204.77997</v>
      </c>
      <c r="AO22" s="208"/>
      <c r="AP22" s="267">
        <v>292280230427.79004</v>
      </c>
      <c r="AQ22" s="208"/>
      <c r="AR22" s="267">
        <v>295523324263.78986</v>
      </c>
      <c r="AS22" s="208"/>
      <c r="AT22" s="267">
        <v>319492469047.81995</v>
      </c>
      <c r="AU22" s="208"/>
    </row>
    <row r="23" spans="1:47" ht="14.1" hidden="1" customHeight="1" outlineLevel="1" x14ac:dyDescent="0.2">
      <c r="A23" s="270"/>
      <c r="B23" s="270"/>
      <c r="C23" s="270"/>
      <c r="D23" s="271"/>
      <c r="E23" s="272">
        <f>ROUND(E22-SUM(E18:E21),3)</f>
        <v>1542741976.46</v>
      </c>
      <c r="F23" s="272">
        <f>ROUND(F22-SUM(F18:F21),3)</f>
        <v>1221850128.03</v>
      </c>
      <c r="G23" s="270"/>
      <c r="H23" s="270"/>
      <c r="I23" s="272">
        <f>ROUND(I22-SUM(I18:I21),3)</f>
        <v>1432903768.95</v>
      </c>
      <c r="J23" s="272"/>
      <c r="L23" s="272">
        <f>ROUND(L22-SUM(L18:L21),3)</f>
        <v>1372323247.03</v>
      </c>
      <c r="M23" s="272"/>
      <c r="N23" s="270"/>
      <c r="O23" s="272">
        <f>ROUND(O22-SUM(O18:O21),3)</f>
        <v>0</v>
      </c>
      <c r="P23" s="272"/>
      <c r="Q23" s="272">
        <f>ROUND(Q22-SUM(Q18:Q21),3)</f>
        <v>0</v>
      </c>
      <c r="R23" s="272"/>
      <c r="S23" s="272">
        <f>ROUND(S22-SUM(S18:S21),3)</f>
        <v>0</v>
      </c>
      <c r="T23" s="272"/>
      <c r="U23" s="270"/>
      <c r="V23" s="272">
        <f>ROUND(V22-SUM(V18:V21),3)</f>
        <v>0</v>
      </c>
      <c r="W23" s="272"/>
      <c r="X23" s="272">
        <f>ROUND(X22-SUM(X18:X21),3)</f>
        <v>0</v>
      </c>
      <c r="Y23" s="272"/>
      <c r="Z23" s="272">
        <f>ROUND(Z22-SUM(Z18:Z21),3)</f>
        <v>0</v>
      </c>
      <c r="AA23" s="272"/>
      <c r="AB23" s="272">
        <f>ROUND(AB22-SUM(AB18:AB21),3)</f>
        <v>0</v>
      </c>
      <c r="AC23" s="272"/>
      <c r="AD23" s="270"/>
      <c r="AE23" s="272">
        <f>ROUND(AE22-SUM(AE18:AE21),3)</f>
        <v>0</v>
      </c>
      <c r="AF23" s="272"/>
      <c r="AG23" s="272">
        <f>ROUND(AG22-SUM(AG18:AG21),3)</f>
        <v>0</v>
      </c>
      <c r="AH23" s="272"/>
      <c r="AI23" s="272">
        <f>ROUND(AI22-SUM(AI18:AI21),3)</f>
        <v>0</v>
      </c>
      <c r="AJ23" s="272"/>
      <c r="AK23" s="272">
        <f>ROUND(AK22-SUM(AK18:AK21),3)</f>
        <v>0</v>
      </c>
      <c r="AL23" s="272"/>
      <c r="AM23" s="270"/>
      <c r="AN23" s="272">
        <f>ROUND(AN22-SUM(AN18:AN21),3)</f>
        <v>0</v>
      </c>
      <c r="AO23" s="272"/>
      <c r="AP23" s="272">
        <f>ROUND(AP22-SUM(AP18:AP21),3)</f>
        <v>0</v>
      </c>
      <c r="AQ23" s="272"/>
      <c r="AR23" s="272">
        <f>ROUND(AR22-SUM(AR18:AR21),3)</f>
        <v>0</v>
      </c>
      <c r="AS23" s="272"/>
      <c r="AT23" s="272">
        <f>ROUND(AT22-SUM(AT18:AT21),3)</f>
        <v>0</v>
      </c>
      <c r="AU23" s="272"/>
    </row>
    <row r="24" spans="1:47" ht="12" collapsed="1" x14ac:dyDescent="0.2">
      <c r="H24" s="59" t="s">
        <v>331</v>
      </c>
      <c r="I24" s="59" t="s">
        <v>331</v>
      </c>
      <c r="J24" s="59"/>
      <c r="K24" s="59" t="s">
        <v>331</v>
      </c>
      <c r="L24" s="59"/>
      <c r="N24" s="59" t="s">
        <v>331</v>
      </c>
      <c r="O24" s="59" t="s">
        <v>331</v>
      </c>
      <c r="P24" s="59" t="s">
        <v>331</v>
      </c>
      <c r="Q24" s="59" t="s">
        <v>331</v>
      </c>
      <c r="R24" s="59" t="s">
        <v>331</v>
      </c>
      <c r="S24" s="59" t="s">
        <v>331</v>
      </c>
      <c r="T24" s="59" t="s">
        <v>331</v>
      </c>
      <c r="U24" s="59" t="s">
        <v>331</v>
      </c>
      <c r="Y24" s="59" t="s">
        <v>331</v>
      </c>
      <c r="Z24" s="59" t="s">
        <v>331</v>
      </c>
      <c r="AA24" s="59" t="s">
        <v>331</v>
      </c>
      <c r="AD24" s="59" t="s">
        <v>331</v>
      </c>
      <c r="AE24" s="59" t="s">
        <v>331</v>
      </c>
      <c r="AF24" s="59" t="s">
        <v>331</v>
      </c>
      <c r="AG24" s="59" t="s">
        <v>331</v>
      </c>
      <c r="AH24" s="59" t="s">
        <v>331</v>
      </c>
      <c r="AI24" s="59" t="s">
        <v>331</v>
      </c>
      <c r="AJ24" s="59" t="s">
        <v>331</v>
      </c>
      <c r="AM24" s="59" t="s">
        <v>331</v>
      </c>
      <c r="AN24" s="59" t="s">
        <v>331</v>
      </c>
      <c r="AO24" s="59" t="s">
        <v>331</v>
      </c>
      <c r="AP24" s="59" t="s">
        <v>331</v>
      </c>
      <c r="AQ24" s="59" t="s">
        <v>331</v>
      </c>
      <c r="AR24" s="59" t="s">
        <v>331</v>
      </c>
      <c r="AS24" s="59" t="s">
        <v>331</v>
      </c>
    </row>
    <row r="25" spans="1:47" ht="15.6" x14ac:dyDescent="0.3">
      <c r="A25" s="2"/>
      <c r="B25" s="2"/>
      <c r="C25" s="179" t="s">
        <v>188</v>
      </c>
      <c r="D25" s="74"/>
      <c r="E25" s="63"/>
    </row>
    <row r="26" spans="1:47" ht="27.6" customHeight="1" x14ac:dyDescent="0.25">
      <c r="A26" s="172" t="s">
        <v>185</v>
      </c>
      <c r="B26" s="2"/>
      <c r="C26" s="155" t="s">
        <v>127</v>
      </c>
      <c r="D26" s="74"/>
      <c r="E26" s="68" t="str" cm="1">
        <f t="array" ref="E26">"Flows"&amp;" "&amp;"
"&amp;INDEX(TableYtd,MONTH(E$3),2)&amp;YEAR(E$3)</f>
        <v>Flows 
9M 2025</v>
      </c>
      <c r="F26" s="68" t="str" cm="1">
        <f t="array" ref="F26">"Flows"&amp;" "&amp;"
"&amp;INDEX(TableYtd,MONTH(F$3),2)&amp;YEAR(F$3)</f>
        <v>Flows 
9M 2024</v>
      </c>
      <c r="I26" s="68" t="str">
        <f>"Flows"&amp;" "&amp;"
"&amp;"Q"&amp;MONTH(I$3)/3&amp;" "&amp;YEAR(I$3)</f>
        <v>Flows 
Q3 2025</v>
      </c>
      <c r="J26" s="68" t="str">
        <f>"Flows"&amp;" "&amp;"
"&amp;"Q"&amp;MONTH(J$3)/3&amp;" "&amp;YEAR(J$3)</f>
        <v>Flows 
Q3 2024</v>
      </c>
      <c r="L26" s="68" t="str">
        <f>"Flows"&amp;" "&amp;"
"&amp;"Q"&amp;MONTH(L$3)/3&amp;" "&amp;YEAR(L$3)</f>
        <v>Flows 
Q2 2025</v>
      </c>
      <c r="O26" s="68" t="str" cm="1">
        <f t="array" ref="O26">"Flows"&amp;" "&amp;"
"&amp;INDEX(TableYtd,MONTH(O$3),2)&amp;YEAR(O$3)</f>
        <v>Flows 
9M 2025</v>
      </c>
      <c r="P26" s="68" t="str">
        <f>"Flows"&amp;" "&amp;"
"&amp;"Q"&amp;MONTH(P$3)/3&amp;" "&amp;YEAR(P$3)</f>
        <v>Flows 
Q3 2025</v>
      </c>
      <c r="Q26" s="68" t="str" cm="1">
        <f t="array" ref="Q26">"Flows"&amp;" "&amp;"
"&amp;INDEX(TableYtd,MONTH(Q$3),2)&amp;YEAR(Q$3)</f>
        <v>Flows 
H1 2025</v>
      </c>
      <c r="R26" s="68" t="str">
        <f>"Flows"&amp;" "&amp;"
"&amp;"Q"&amp;MONTH(R$3)/3&amp;" "&amp;YEAR(R$3)</f>
        <v>Flows 
Q2 2025</v>
      </c>
      <c r="S26" s="68" t="str" cm="1">
        <f t="array" ref="S26">"Flows"&amp;" "&amp;"
"&amp;INDEX(TableYtd,MONTH(S$3),2)&amp;YEAR(S$3)</f>
        <v>Flows 
Q1 2025</v>
      </c>
      <c r="T26" s="68" t="str">
        <f>"Flows"&amp;" "&amp;"
"&amp;"Q"&amp;MONTH(T$3)/3&amp;" "&amp;YEAR(T$3)</f>
        <v>Flows 
Q1 2025</v>
      </c>
      <c r="V26" s="68" t="str" cm="1">
        <f t="array" ref="V26">"Flows"&amp;" "&amp;"
"&amp;INDEX(TableYtd,MONTH(V$3),2)&amp;YEAR(V$3)</f>
        <v>Flows 
FY 2024</v>
      </c>
      <c r="W26" s="68" t="str">
        <f>"Flows"&amp;" "&amp;"
"&amp;"Q"&amp;MONTH(W$3)/3&amp;" "&amp;YEAR(W$3)</f>
        <v>Flows 
Q4 2024</v>
      </c>
      <c r="X26" s="68" t="str" cm="1">
        <f t="array" ref="X26">"Flows"&amp;" "&amp;"
"&amp;INDEX(TableYtd,MONTH(X$3),2)&amp;YEAR(X$3)</f>
        <v>Flows 
9M 2024</v>
      </c>
      <c r="Y26" s="68" t="str">
        <f>"Flows"&amp;" "&amp;"
"&amp;"Q"&amp;MONTH(Y$3)/3&amp;" "&amp;YEAR(Y$3)</f>
        <v>Flows 
Q3 2024</v>
      </c>
      <c r="Z26" s="68" t="str" cm="1">
        <f t="array" ref="Z26">"Flows"&amp;" "&amp;"
"&amp;INDEX(TableYtd,MONTH(Z$3),2)&amp;YEAR(Z$3)</f>
        <v>Flows 
H1 2024</v>
      </c>
      <c r="AA26" s="68" t="str">
        <f>"Flows"&amp;" "&amp;"
"&amp;"Q"&amp;MONTH(AA$3)/3&amp;" "&amp;YEAR(AA$3)</f>
        <v>Flows 
Q2 2024</v>
      </c>
      <c r="AB26" s="68" t="str" cm="1">
        <f t="array" ref="AB26">"Flows"&amp;" "&amp;"
"&amp;INDEX(TableYtd,MONTH(AB$3),2)&amp;YEAR(AB$3)</f>
        <v>Flows 
Q1 2024</v>
      </c>
      <c r="AC26" s="68" t="str">
        <f>"Flows"&amp;" "&amp;"
"&amp;"Q"&amp;MONTH(AC$3)/3&amp;" "&amp;YEAR(AC$3)</f>
        <v>Flows 
Q1 2024</v>
      </c>
      <c r="AE26" s="68" t="str" cm="1">
        <f t="array" ref="AE26">"Flows"&amp;" "&amp;"
"&amp;INDEX(TableYtd,MONTH(AE$3),2)&amp;YEAR(AE$3)</f>
        <v>Flows 
FY 2023</v>
      </c>
      <c r="AF26" s="68" t="str">
        <f>"Flows"&amp;" "&amp;"
"&amp;"Q"&amp;MONTH(AF$3)/3&amp;" "&amp;YEAR(AF$3)</f>
        <v>Flows 
Q4 2023</v>
      </c>
      <c r="AG26" s="68" t="str" cm="1">
        <f t="array" ref="AG26">"Flows"&amp;" "&amp;"
"&amp;INDEX(TableYtd,MONTH(AG$3),2)&amp;YEAR(AG$3)</f>
        <v>Flows 
9M 2023</v>
      </c>
      <c r="AH26" s="68" t="str">
        <f>"Flows"&amp;" "&amp;"
"&amp;"Q"&amp;MONTH(AH$3)/3&amp;" "&amp;YEAR(AH$3)</f>
        <v>Flows 
Q3 2023</v>
      </c>
      <c r="AI26" s="68" t="str" cm="1">
        <f t="array" ref="AI26">"Flows"&amp;" "&amp;"
"&amp;INDEX(TableYtd,MONTH(AI$3),2)&amp;YEAR(AI$3)</f>
        <v>Flows 
H1 2023</v>
      </c>
      <c r="AJ26" s="68" t="str">
        <f>"Flows"&amp;" "&amp;"
"&amp;"Q"&amp;MONTH(AJ$3)/3&amp;" "&amp;YEAR(AJ$3)</f>
        <v>Flows 
Q2 2023</v>
      </c>
      <c r="AK26" s="68" t="str" cm="1">
        <f t="array" ref="AK26">"Flows"&amp;" "&amp;"
"&amp;INDEX(TableYtd,MONTH(AK$3),2)&amp;YEAR(AK$3)</f>
        <v>Flows 
Q1 2023</v>
      </c>
      <c r="AL26" s="68" t="str">
        <f>"Flows"&amp;" "&amp;"
"&amp;"Q"&amp;MONTH(AL$3)/3&amp;" "&amp;YEAR(AL$3)</f>
        <v>Flows 
Q1 2023</v>
      </c>
      <c r="AN26" s="68" t="str" cm="1">
        <f t="array" ref="AN26">"Flows"&amp;" "&amp;"
"&amp;INDEX(TableYtd,MONTH(AN$3),2)&amp;YEAR(AN$3)</f>
        <v>Flows 
FY 2022</v>
      </c>
      <c r="AO26" s="68" t="str">
        <f>"Flows"&amp;" "&amp;"
"&amp;"Q"&amp;MONTH(AO$3)/3&amp;" "&amp;YEAR(AO$3)</f>
        <v>Flows 
Q4 2022</v>
      </c>
      <c r="AP26" s="68" t="str" cm="1">
        <f t="array" ref="AP26">"Flows"&amp;" "&amp;"
"&amp;INDEX(TableYtd,MONTH(AP$3),2)&amp;YEAR(AP$3)</f>
        <v>Flows 
9M 2022</v>
      </c>
      <c r="AQ26" s="68" t="str">
        <f>"Flows"&amp;" "&amp;"
"&amp;"Q"&amp;MONTH(AQ$3)/3&amp;" "&amp;YEAR(AQ$3)</f>
        <v>Flows 
Q3 2022</v>
      </c>
      <c r="AR26" s="68" t="str" cm="1">
        <f t="array" ref="AR26">"Flows"&amp;" "&amp;"
"&amp;INDEX(TableYtd,MONTH(AR$3),2)&amp;YEAR(AR$3)</f>
        <v>Flows 
H1 2022</v>
      </c>
      <c r="AS26" s="68" t="str">
        <f>"Flows"&amp;" "&amp;"
"&amp;"Q"&amp;MONTH(AS$3)/3&amp;" "&amp;YEAR(AS$3)</f>
        <v>Flows 
Q2 2022</v>
      </c>
      <c r="AT26" s="68" t="str" cm="1">
        <f t="array" ref="AT26">"Flows"&amp;" "&amp;"
"&amp;INDEX(TableYtd,MONTH(AT$3),2)&amp;YEAR(AT$3)</f>
        <v>Flows 
Q1 2022</v>
      </c>
      <c r="AU26" s="68" t="str">
        <f>"Flows"&amp;" "&amp;"
"&amp;"Q"&amp;MONTH(AU$3)/3&amp;" "&amp;YEAR(AU$3)</f>
        <v>Flows 
Q1 2022</v>
      </c>
    </row>
    <row r="27" spans="1:47" ht="15" customHeight="1" x14ac:dyDescent="0.25">
      <c r="A27" s="61" t="s">
        <v>214</v>
      </c>
      <c r="B27" s="51"/>
      <c r="C27" s="114" t="s">
        <v>224</v>
      </c>
      <c r="D27" s="75"/>
      <c r="E27" s="268">
        <v>8589647870.3500004</v>
      </c>
      <c r="F27" s="268">
        <v>18363954755.700001</v>
      </c>
      <c r="G27" s="94" t="s">
        <v>331</v>
      </c>
      <c r="H27" s="94" t="s">
        <v>331</v>
      </c>
      <c r="I27" s="268">
        <v>1656841188.2199998</v>
      </c>
      <c r="J27" s="268">
        <v>6017053098.539999</v>
      </c>
      <c r="K27" s="94" t="s">
        <v>331</v>
      </c>
      <c r="L27" s="268">
        <v>7800359652.0799999</v>
      </c>
      <c r="N27" s="94" t="s">
        <v>331</v>
      </c>
      <c r="O27" s="268">
        <v>8589647870.3500004</v>
      </c>
      <c r="P27" s="268">
        <v>1656841188.2199998</v>
      </c>
      <c r="Q27" s="268">
        <v>6932806682.1300001</v>
      </c>
      <c r="R27" s="268">
        <v>7800359652.0799999</v>
      </c>
      <c r="S27" s="268">
        <v>-867552969.95000029</v>
      </c>
      <c r="T27" s="268">
        <v>-867552969.95000029</v>
      </c>
      <c r="U27" s="94" t="s">
        <v>331</v>
      </c>
      <c r="V27" s="268">
        <v>20615721436.270004</v>
      </c>
      <c r="W27" s="268">
        <v>2251766680.5700002</v>
      </c>
      <c r="X27" s="268">
        <v>18363954755.700001</v>
      </c>
      <c r="Y27" s="268">
        <v>6017053098.539999</v>
      </c>
      <c r="Z27" s="268">
        <v>12346901657.16</v>
      </c>
      <c r="AA27" s="268">
        <v>9411235845.0200005</v>
      </c>
      <c r="AB27" s="268">
        <v>2935665812.1399984</v>
      </c>
      <c r="AC27" s="268">
        <v>2935665812.1399984</v>
      </c>
      <c r="AD27" s="94" t="s">
        <v>331</v>
      </c>
      <c r="AE27" s="268">
        <v>12198957892.260002</v>
      </c>
      <c r="AF27" s="268">
        <v>3907739298.0799999</v>
      </c>
      <c r="AG27" s="268">
        <v>8291218594.1800022</v>
      </c>
      <c r="AH27" s="268">
        <v>1961627594.6999996</v>
      </c>
      <c r="AI27" s="268">
        <v>6329590999.4800005</v>
      </c>
      <c r="AJ27" s="268">
        <v>3568713891.3700004</v>
      </c>
      <c r="AK27" s="268">
        <v>2760877108.1100006</v>
      </c>
      <c r="AL27" s="268">
        <v>2760877108.1100006</v>
      </c>
      <c r="AM27" s="94" t="s">
        <v>331</v>
      </c>
      <c r="AN27" s="268">
        <v>18308795570.34</v>
      </c>
      <c r="AO27" s="268">
        <v>2470355209.1000023</v>
      </c>
      <c r="AP27" s="268">
        <v>15838440361.239998</v>
      </c>
      <c r="AQ27" s="268">
        <v>3304471725.6999969</v>
      </c>
      <c r="AR27" s="268">
        <v>12533968635.540001</v>
      </c>
      <c r="AS27" s="268">
        <v>8924472928.7300014</v>
      </c>
      <c r="AT27" s="268">
        <v>3609495706.8099995</v>
      </c>
      <c r="AU27" s="268">
        <v>3609495706.8099995</v>
      </c>
    </row>
    <row r="28" spans="1:47" x14ac:dyDescent="0.2">
      <c r="A28" s="61" t="s">
        <v>215</v>
      </c>
      <c r="B28" s="51"/>
      <c r="C28" s="114" t="s">
        <v>225</v>
      </c>
      <c r="D28" s="86"/>
      <c r="E28" s="268">
        <v>6748895780.6999989</v>
      </c>
      <c r="F28" s="268">
        <v>2397679981.1399994</v>
      </c>
      <c r="G28" s="94" t="s">
        <v>331</v>
      </c>
      <c r="H28" s="94" t="s">
        <v>331</v>
      </c>
      <c r="I28" s="268">
        <v>1998784529.2200007</v>
      </c>
      <c r="J28" s="268">
        <v>396411003.32999992</v>
      </c>
      <c r="K28" s="94" t="s">
        <v>331</v>
      </c>
      <c r="L28" s="268">
        <v>1369208950.98</v>
      </c>
      <c r="N28" s="94" t="s">
        <v>331</v>
      </c>
      <c r="O28" s="268">
        <v>6748895780.6999989</v>
      </c>
      <c r="P28" s="268">
        <v>1998784529.2200007</v>
      </c>
      <c r="Q28" s="268">
        <v>4750111251.4800005</v>
      </c>
      <c r="R28" s="268">
        <v>1369208950.98</v>
      </c>
      <c r="S28" s="268">
        <v>3380902300.5000005</v>
      </c>
      <c r="T28" s="268">
        <v>3380902300.5000005</v>
      </c>
      <c r="U28" s="94" t="s">
        <v>331</v>
      </c>
      <c r="V28" s="268">
        <v>1866701350.2999997</v>
      </c>
      <c r="W28" s="268">
        <v>-530978630.84000003</v>
      </c>
      <c r="X28" s="268">
        <v>2397679981.1399994</v>
      </c>
      <c r="Y28" s="268">
        <v>396411003.32999992</v>
      </c>
      <c r="Z28" s="268">
        <v>2001268977.8099999</v>
      </c>
      <c r="AA28" s="268">
        <v>516174482.72000003</v>
      </c>
      <c r="AB28" s="268">
        <v>1485094495.0900002</v>
      </c>
      <c r="AC28" s="268">
        <v>1485094495.0900002</v>
      </c>
      <c r="AD28" s="94" t="s">
        <v>331</v>
      </c>
      <c r="AE28" s="268">
        <v>4358931970.5699997</v>
      </c>
      <c r="AF28" s="268">
        <v>2019027894.5599999</v>
      </c>
      <c r="AG28" s="268">
        <v>2339904076.0100002</v>
      </c>
      <c r="AH28" s="268">
        <v>162415550.07000002</v>
      </c>
      <c r="AI28" s="268">
        <v>2177488525.9399996</v>
      </c>
      <c r="AJ28" s="268">
        <v>611347199.85000002</v>
      </c>
      <c r="AK28" s="268">
        <v>1566141326.0899999</v>
      </c>
      <c r="AL28" s="268">
        <v>1566141326.0899999</v>
      </c>
      <c r="AM28" s="94" t="s">
        <v>331</v>
      </c>
      <c r="AN28" s="268">
        <v>2606128295.8600001</v>
      </c>
      <c r="AO28" s="268">
        <v>-1713061251.3600001</v>
      </c>
      <c r="AP28" s="268">
        <v>4319189547.2200003</v>
      </c>
      <c r="AQ28" s="268">
        <v>558649824.43000031</v>
      </c>
      <c r="AR28" s="268">
        <v>3760539722.79</v>
      </c>
      <c r="AS28" s="268">
        <v>1938713143.7800002</v>
      </c>
      <c r="AT28" s="268">
        <v>1821826579.0099998</v>
      </c>
      <c r="AU28" s="268">
        <v>1821826579.0099998</v>
      </c>
    </row>
    <row r="29" spans="1:47" ht="12" x14ac:dyDescent="0.25">
      <c r="A29" s="61" t="s">
        <v>216</v>
      </c>
      <c r="B29" s="51"/>
      <c r="C29" s="114" t="s">
        <v>231</v>
      </c>
      <c r="D29" s="87"/>
      <c r="E29" s="268">
        <v>1838266350.5300002</v>
      </c>
      <c r="F29" s="268">
        <v>245343231.29999995</v>
      </c>
      <c r="G29" s="94" t="s">
        <v>331</v>
      </c>
      <c r="H29" s="94" t="s">
        <v>331</v>
      </c>
      <c r="I29" s="268">
        <v>469902266.24000007</v>
      </c>
      <c r="J29" s="268">
        <v>-1320021526.3800001</v>
      </c>
      <c r="K29" s="94" t="s">
        <v>331</v>
      </c>
      <c r="L29" s="268">
        <v>932007437.61000001</v>
      </c>
      <c r="N29" s="94" t="s">
        <v>331</v>
      </c>
      <c r="O29" s="268">
        <v>1838266350.5300002</v>
      </c>
      <c r="P29" s="268">
        <v>469902266.24000007</v>
      </c>
      <c r="Q29" s="268">
        <v>1368364084.29</v>
      </c>
      <c r="R29" s="268">
        <v>932007437.61000001</v>
      </c>
      <c r="S29" s="268">
        <v>436356646.68000001</v>
      </c>
      <c r="T29" s="268">
        <v>436356646.68000001</v>
      </c>
      <c r="U29" s="94" t="s">
        <v>331</v>
      </c>
      <c r="V29" s="268">
        <v>293136846.08999991</v>
      </c>
      <c r="W29" s="268">
        <v>47793614.789999992</v>
      </c>
      <c r="X29" s="268">
        <v>245343231.29999995</v>
      </c>
      <c r="Y29" s="268">
        <v>-1320021526.3800001</v>
      </c>
      <c r="Z29" s="268">
        <v>1565364757.6799998</v>
      </c>
      <c r="AA29" s="268">
        <v>1616866144.1700001</v>
      </c>
      <c r="AB29" s="268">
        <v>-51501386.49000001</v>
      </c>
      <c r="AC29" s="268">
        <v>-51501386.49000001</v>
      </c>
      <c r="AD29" s="94" t="s">
        <v>331</v>
      </c>
      <c r="AE29" s="268">
        <v>-10027520164.150002</v>
      </c>
      <c r="AF29" s="268">
        <v>388195322.69999999</v>
      </c>
      <c r="AG29" s="268">
        <v>-10415715486.85</v>
      </c>
      <c r="AH29" s="268">
        <v>36533096.159999967</v>
      </c>
      <c r="AI29" s="268">
        <v>-10452248583.01</v>
      </c>
      <c r="AJ29" s="268">
        <v>-5471433962.8000002</v>
      </c>
      <c r="AK29" s="268">
        <v>-4980814620.21</v>
      </c>
      <c r="AL29" s="268">
        <v>-4980814620.21</v>
      </c>
      <c r="AM29" s="94" t="s">
        <v>331</v>
      </c>
      <c r="AN29" s="268">
        <v>-6376723096.3499994</v>
      </c>
      <c r="AO29" s="268">
        <v>-6724263344.0299988</v>
      </c>
      <c r="AP29" s="268">
        <v>347540247.67999983</v>
      </c>
      <c r="AQ29" s="268">
        <v>-4942714095.1299992</v>
      </c>
      <c r="AR29" s="268">
        <v>5290254342.8099995</v>
      </c>
      <c r="AS29" s="268">
        <v>2452114153.8499999</v>
      </c>
      <c r="AT29" s="268">
        <v>2838140188.9599996</v>
      </c>
      <c r="AU29" s="268">
        <v>2838140188.9599996</v>
      </c>
    </row>
    <row r="30" spans="1:47" x14ac:dyDescent="0.2">
      <c r="A30" s="61" t="s">
        <v>217</v>
      </c>
      <c r="B30" s="51"/>
      <c r="C30" s="114" t="s">
        <v>255</v>
      </c>
      <c r="D30" s="88"/>
      <c r="E30" s="268">
        <v>493545044.44</v>
      </c>
      <c r="F30" s="268">
        <v>169843066.33000001</v>
      </c>
      <c r="G30" s="94"/>
      <c r="H30" s="94"/>
      <c r="I30" s="268">
        <v>466255010.22000003</v>
      </c>
      <c r="J30" s="268">
        <v>115796690.79000001</v>
      </c>
      <c r="K30" s="94" t="s">
        <v>331</v>
      </c>
      <c r="L30" s="268">
        <v>114191526.64999992</v>
      </c>
      <c r="N30" s="94"/>
      <c r="O30" s="268">
        <v>493545044.44</v>
      </c>
      <c r="P30" s="268">
        <v>466255010.22000003</v>
      </c>
      <c r="Q30" s="268">
        <v>27290034.220000014</v>
      </c>
      <c r="R30" s="268">
        <v>114191526.64999992</v>
      </c>
      <c r="S30" s="268">
        <v>-86901492.429999992</v>
      </c>
      <c r="T30" s="268">
        <v>-86901492.429999992</v>
      </c>
      <c r="U30" s="94"/>
      <c r="V30" s="268">
        <f>V31-SUM(V27:V29)</f>
        <v>492313853.439991</v>
      </c>
      <c r="W30" s="268">
        <f t="shared" ref="W30:AU30" si="66">W31-SUM(W27:W29)</f>
        <v>156761457.34999847</v>
      </c>
      <c r="X30" s="268">
        <f t="shared" si="66"/>
        <v>335552396.09000015</v>
      </c>
      <c r="Y30" s="268">
        <f t="shared" ref="Y30:AC30" si="67">Y31-SUM(Y27:Y29)</f>
        <v>170811001.11000061</v>
      </c>
      <c r="Z30" s="268">
        <f t="shared" si="67"/>
        <v>164741394.98000336</v>
      </c>
      <c r="AA30" s="268">
        <f t="shared" si="67"/>
        <v>42647211.890003204</v>
      </c>
      <c r="AB30" s="268">
        <f t="shared" si="67"/>
        <v>122094183.09000015</v>
      </c>
      <c r="AC30" s="268">
        <f t="shared" si="67"/>
        <v>122094183.09000015</v>
      </c>
      <c r="AD30" s="268"/>
      <c r="AE30" s="268">
        <f t="shared" si="66"/>
        <v>492938597.31000137</v>
      </c>
      <c r="AF30" s="268">
        <f t="shared" si="66"/>
        <v>-1939802.6300010681</v>
      </c>
      <c r="AG30" s="268">
        <f t="shared" si="66"/>
        <v>494878399.93999755</v>
      </c>
      <c r="AH30" s="268">
        <f t="shared" si="66"/>
        <v>251234965.34000015</v>
      </c>
      <c r="AI30" s="268">
        <f t="shared" si="66"/>
        <v>243643434.59999919</v>
      </c>
      <c r="AJ30" s="268">
        <f t="shared" si="66"/>
        <v>357205372.36000073</v>
      </c>
      <c r="AK30" s="268">
        <f t="shared" si="66"/>
        <v>-113561937.76000011</v>
      </c>
      <c r="AL30" s="268">
        <f t="shared" si="66"/>
        <v>-113561937.76000011</v>
      </c>
      <c r="AM30" s="268"/>
      <c r="AN30" s="268">
        <f t="shared" si="66"/>
        <v>-498603612.72999382</v>
      </c>
      <c r="AO30" s="268">
        <f t="shared" si="66"/>
        <v>-195172264.71998024</v>
      </c>
      <c r="AP30" s="268">
        <f t="shared" si="66"/>
        <v>-303431348.01001358</v>
      </c>
      <c r="AQ30" s="268">
        <f t="shared" si="66"/>
        <v>-266479431.69999886</v>
      </c>
      <c r="AR30" s="268">
        <f t="shared" si="66"/>
        <v>-36951916.310012817</v>
      </c>
      <c r="AS30" s="268">
        <f t="shared" si="66"/>
        <v>-213068939.89001656</v>
      </c>
      <c r="AT30" s="268">
        <f t="shared" si="66"/>
        <v>176117023.58000088</v>
      </c>
      <c r="AU30" s="268">
        <f t="shared" si="66"/>
        <v>176117023.58000088</v>
      </c>
    </row>
    <row r="31" spans="1:47" ht="15" customHeight="1" x14ac:dyDescent="0.2">
      <c r="A31" s="60" t="s">
        <v>143</v>
      </c>
      <c r="B31" s="51"/>
      <c r="C31" s="207" t="s">
        <v>232</v>
      </c>
      <c r="D31" s="74"/>
      <c r="E31" s="269">
        <v>17853141436.599998</v>
      </c>
      <c r="F31" s="269">
        <v>21342530364.23</v>
      </c>
      <c r="I31" s="269">
        <v>4645168214.9100008</v>
      </c>
      <c r="J31" s="269">
        <v>5264253576.5999994</v>
      </c>
      <c r="L31" s="269">
        <v>10282504600.150002</v>
      </c>
      <c r="O31" s="269">
        <v>17853141436.599998</v>
      </c>
      <c r="P31" s="269">
        <v>4645168214.9100008</v>
      </c>
      <c r="Q31" s="269">
        <v>13207973221.690002</v>
      </c>
      <c r="R31" s="269">
        <v>10282504600.150002</v>
      </c>
      <c r="S31" s="269">
        <v>2925468621.5400009</v>
      </c>
      <c r="T31" s="269">
        <v>2925468621.5400009</v>
      </c>
      <c r="V31" s="269">
        <v>23267873486.099995</v>
      </c>
      <c r="W31" s="269">
        <v>1925343121.8699985</v>
      </c>
      <c r="X31" s="269">
        <v>21342530364.23</v>
      </c>
      <c r="Y31" s="269">
        <v>5264253576.5999994</v>
      </c>
      <c r="Z31" s="269">
        <v>16078276787.630003</v>
      </c>
      <c r="AA31" s="269">
        <v>11586923683.800003</v>
      </c>
      <c r="AB31" s="269">
        <v>4491353103.829999</v>
      </c>
      <c r="AC31" s="269">
        <v>4491353103.829999</v>
      </c>
      <c r="AE31" s="269">
        <v>7023308295.9900017</v>
      </c>
      <c r="AF31" s="269">
        <v>6313022712.7099981</v>
      </c>
      <c r="AG31" s="269">
        <v>710285583.27999961</v>
      </c>
      <c r="AH31" s="269">
        <v>2411811206.2699995</v>
      </c>
      <c r="AI31" s="269">
        <v>-1701525622.990001</v>
      </c>
      <c r="AJ31" s="269">
        <v>-934167499.21999919</v>
      </c>
      <c r="AK31" s="269">
        <v>-767358123.76999938</v>
      </c>
      <c r="AL31" s="269">
        <v>-767358123.76999938</v>
      </c>
      <c r="AN31" s="269">
        <v>14039597157.120008</v>
      </c>
      <c r="AO31" s="269">
        <v>-6162141651.0099773</v>
      </c>
      <c r="AP31" s="269">
        <v>20201738808.129986</v>
      </c>
      <c r="AQ31" s="269">
        <v>-1346071976.7000008</v>
      </c>
      <c r="AR31" s="269">
        <v>21547810784.829987</v>
      </c>
      <c r="AS31" s="269">
        <v>13102231286.469986</v>
      </c>
      <c r="AT31" s="269">
        <v>8445579498.3599997</v>
      </c>
      <c r="AU31" s="269">
        <v>8445579498.3599997</v>
      </c>
    </row>
    <row r="32" spans="1:47" ht="14.1" hidden="1" customHeight="1" outlineLevel="1" x14ac:dyDescent="0.2">
      <c r="A32" s="270"/>
      <c r="B32" s="270"/>
      <c r="C32" s="270"/>
      <c r="D32" s="271"/>
      <c r="E32" s="272">
        <f>ROUND(E31-SUM(E27:E30),3)</f>
        <v>182786390.58000001</v>
      </c>
      <c r="F32" s="272">
        <f>ROUND(F31-SUM(F27:F30),3)</f>
        <v>165709329.75999999</v>
      </c>
      <c r="G32" s="270"/>
      <c r="H32" s="270"/>
      <c r="I32" s="272">
        <f>ROUND(I31-SUM(I27:I30),3)</f>
        <v>53385221.009999998</v>
      </c>
      <c r="J32" s="272">
        <f>ROUND(J31-SUM(J27:J30),3)</f>
        <v>55014310.32</v>
      </c>
      <c r="K32" s="270"/>
      <c r="L32" s="272">
        <f>ROUND(L31-SUM(L27:L30),3)</f>
        <v>66737032.829999998</v>
      </c>
      <c r="N32" s="270"/>
      <c r="O32" s="272">
        <f>ROUND(O31-SUM(O27:O30),3)</f>
        <v>182786390.58000001</v>
      </c>
      <c r="P32" s="272">
        <f>ROUND(P31-SUM(P27:P30),3)</f>
        <v>53385221.009999998</v>
      </c>
      <c r="Q32" s="272">
        <f t="shared" ref="Q32:AC32" si="68">ROUND(Q31-SUM(Q27:Q30),3)</f>
        <v>129401169.56999999</v>
      </c>
      <c r="R32" s="272">
        <f t="shared" si="68"/>
        <v>66737032.829999998</v>
      </c>
      <c r="S32" s="272">
        <f t="shared" si="68"/>
        <v>62664136.740000002</v>
      </c>
      <c r="T32" s="272">
        <f t="shared" si="68"/>
        <v>62664136.740000002</v>
      </c>
      <c r="U32" s="270"/>
      <c r="V32" s="272">
        <f t="shared" si="68"/>
        <v>0</v>
      </c>
      <c r="W32" s="272">
        <f t="shared" si="68"/>
        <v>0</v>
      </c>
      <c r="X32" s="272">
        <f t="shared" si="68"/>
        <v>0</v>
      </c>
      <c r="Y32" s="272">
        <f t="shared" si="68"/>
        <v>0</v>
      </c>
      <c r="Z32" s="272">
        <f t="shared" si="68"/>
        <v>0</v>
      </c>
      <c r="AA32" s="272">
        <f t="shared" si="68"/>
        <v>0</v>
      </c>
      <c r="AB32" s="272">
        <f t="shared" si="68"/>
        <v>0</v>
      </c>
      <c r="AC32" s="272">
        <f t="shared" si="68"/>
        <v>0</v>
      </c>
      <c r="AD32" s="270"/>
      <c r="AE32" s="272">
        <f t="shared" ref="AE32:AL32" si="69">ROUND(AE31-SUM(AE27:AE30),3)</f>
        <v>0</v>
      </c>
      <c r="AF32" s="272">
        <f t="shared" si="69"/>
        <v>0</v>
      </c>
      <c r="AG32" s="272">
        <f t="shared" si="69"/>
        <v>0</v>
      </c>
      <c r="AH32" s="272">
        <f t="shared" si="69"/>
        <v>0</v>
      </c>
      <c r="AI32" s="272">
        <f t="shared" si="69"/>
        <v>0</v>
      </c>
      <c r="AJ32" s="272">
        <f t="shared" si="69"/>
        <v>0</v>
      </c>
      <c r="AK32" s="272">
        <f t="shared" si="69"/>
        <v>0</v>
      </c>
      <c r="AL32" s="272">
        <f t="shared" si="69"/>
        <v>0</v>
      </c>
      <c r="AM32" s="270"/>
      <c r="AN32" s="272">
        <f t="shared" ref="AN32:AU32" si="70">ROUND(AN31-SUM(AN27:AN30),3)</f>
        <v>0</v>
      </c>
      <c r="AO32" s="272">
        <f t="shared" si="70"/>
        <v>0</v>
      </c>
      <c r="AP32" s="272">
        <f t="shared" si="70"/>
        <v>0</v>
      </c>
      <c r="AQ32" s="272">
        <f t="shared" si="70"/>
        <v>0</v>
      </c>
      <c r="AR32" s="272">
        <f t="shared" si="70"/>
        <v>0</v>
      </c>
      <c r="AS32" s="272">
        <f t="shared" si="70"/>
        <v>0</v>
      </c>
      <c r="AT32" s="272">
        <f t="shared" si="70"/>
        <v>0</v>
      </c>
      <c r="AU32" s="272">
        <f t="shared" si="70"/>
        <v>0</v>
      </c>
    </row>
    <row r="33" spans="8:45" ht="12" collapsed="1" x14ac:dyDescent="0.2">
      <c r="H33" s="59" t="s">
        <v>331</v>
      </c>
      <c r="I33" s="59" t="s">
        <v>331</v>
      </c>
      <c r="J33" s="59"/>
      <c r="K33" s="59" t="s">
        <v>331</v>
      </c>
      <c r="L33" s="59"/>
      <c r="N33" s="59" t="s">
        <v>331</v>
      </c>
      <c r="O33" s="59" t="s">
        <v>331</v>
      </c>
      <c r="P33" s="59" t="s">
        <v>331</v>
      </c>
      <c r="Q33" s="59" t="s">
        <v>331</v>
      </c>
      <c r="R33" s="59" t="s">
        <v>331</v>
      </c>
      <c r="S33" s="59" t="s">
        <v>331</v>
      </c>
      <c r="T33" s="59" t="s">
        <v>331</v>
      </c>
      <c r="U33" s="59" t="s">
        <v>331</v>
      </c>
      <c r="Y33" s="59" t="s">
        <v>331</v>
      </c>
      <c r="Z33" s="59" t="s">
        <v>331</v>
      </c>
      <c r="AA33" s="59" t="s">
        <v>331</v>
      </c>
      <c r="AD33" s="59" t="s">
        <v>331</v>
      </c>
      <c r="AE33" s="59" t="s">
        <v>331</v>
      </c>
      <c r="AF33" s="59" t="s">
        <v>331</v>
      </c>
      <c r="AG33" s="59" t="s">
        <v>331</v>
      </c>
      <c r="AH33" s="59" t="s">
        <v>331</v>
      </c>
      <c r="AI33" s="59" t="s">
        <v>331</v>
      </c>
      <c r="AJ33" s="59" t="s">
        <v>331</v>
      </c>
      <c r="AM33" s="59" t="s">
        <v>331</v>
      </c>
      <c r="AN33" s="59" t="s">
        <v>331</v>
      </c>
      <c r="AO33" s="59" t="s">
        <v>331</v>
      </c>
      <c r="AP33" s="59" t="s">
        <v>331</v>
      </c>
      <c r="AQ33" s="59" t="s">
        <v>331</v>
      </c>
      <c r="AR33" s="59" t="s">
        <v>331</v>
      </c>
      <c r="AS33" s="59" t="s">
        <v>331</v>
      </c>
    </row>
    <row r="34" spans="8:45" ht="12" x14ac:dyDescent="0.2">
      <c r="H34" s="59" t="s">
        <v>331</v>
      </c>
      <c r="I34" s="59" t="s">
        <v>331</v>
      </c>
      <c r="J34" s="59"/>
      <c r="K34" s="59" t="s">
        <v>331</v>
      </c>
      <c r="L34" s="59"/>
      <c r="N34" s="59" t="s">
        <v>331</v>
      </c>
      <c r="O34" s="59" t="s">
        <v>331</v>
      </c>
      <c r="P34" s="59" t="s">
        <v>331</v>
      </c>
      <c r="Q34" s="59" t="s">
        <v>331</v>
      </c>
      <c r="R34" s="59" t="s">
        <v>331</v>
      </c>
      <c r="S34" s="59" t="s">
        <v>331</v>
      </c>
      <c r="T34" s="59" t="s">
        <v>331</v>
      </c>
      <c r="U34" s="59" t="s">
        <v>331</v>
      </c>
      <c r="Y34" s="59" t="s">
        <v>331</v>
      </c>
      <c r="Z34" s="59" t="s">
        <v>331</v>
      </c>
      <c r="AA34" s="59" t="s">
        <v>331</v>
      </c>
      <c r="AD34" s="59" t="s">
        <v>331</v>
      </c>
      <c r="AE34" s="59" t="s">
        <v>331</v>
      </c>
      <c r="AF34" s="59" t="s">
        <v>331</v>
      </c>
      <c r="AG34" s="59" t="s">
        <v>331</v>
      </c>
      <c r="AH34" s="59" t="s">
        <v>331</v>
      </c>
      <c r="AI34" s="59" t="s">
        <v>331</v>
      </c>
      <c r="AJ34" s="59" t="s">
        <v>331</v>
      </c>
      <c r="AM34" s="59" t="s">
        <v>331</v>
      </c>
      <c r="AN34" s="59" t="s">
        <v>331</v>
      </c>
      <c r="AO34" s="59" t="s">
        <v>331</v>
      </c>
      <c r="AP34" s="59" t="s">
        <v>331</v>
      </c>
      <c r="AQ34" s="59" t="s">
        <v>331</v>
      </c>
      <c r="AR34" s="59" t="s">
        <v>331</v>
      </c>
      <c r="AS34" s="59" t="s">
        <v>331</v>
      </c>
    </row>
    <row r="35" spans="8:45" ht="12" x14ac:dyDescent="0.2">
      <c r="H35" s="59" t="s">
        <v>331</v>
      </c>
      <c r="I35" s="59" t="s">
        <v>331</v>
      </c>
      <c r="J35" s="59"/>
      <c r="K35" s="59" t="s">
        <v>331</v>
      </c>
      <c r="L35" s="59"/>
      <c r="N35" s="59" t="s">
        <v>331</v>
      </c>
      <c r="O35" s="59" t="s">
        <v>331</v>
      </c>
      <c r="P35" s="59" t="s">
        <v>331</v>
      </c>
      <c r="Q35" s="59" t="s">
        <v>331</v>
      </c>
      <c r="R35" s="59" t="s">
        <v>331</v>
      </c>
      <c r="S35" s="59" t="s">
        <v>331</v>
      </c>
      <c r="T35" s="59" t="s">
        <v>331</v>
      </c>
      <c r="U35" s="59" t="s">
        <v>331</v>
      </c>
      <c r="Y35" s="59" t="s">
        <v>331</v>
      </c>
      <c r="Z35" s="59" t="s">
        <v>331</v>
      </c>
      <c r="AA35" s="59" t="s">
        <v>331</v>
      </c>
      <c r="AD35" s="59" t="s">
        <v>331</v>
      </c>
      <c r="AE35" s="59" t="s">
        <v>331</v>
      </c>
      <c r="AF35" s="59" t="s">
        <v>331</v>
      </c>
      <c r="AG35" s="59" t="s">
        <v>331</v>
      </c>
      <c r="AH35" s="59" t="s">
        <v>331</v>
      </c>
      <c r="AI35" s="59" t="s">
        <v>331</v>
      </c>
      <c r="AJ35" s="59" t="s">
        <v>331</v>
      </c>
      <c r="AM35" s="59" t="s">
        <v>331</v>
      </c>
      <c r="AN35" s="59" t="s">
        <v>331</v>
      </c>
      <c r="AO35" s="59" t="s">
        <v>331</v>
      </c>
      <c r="AP35" s="59" t="s">
        <v>331</v>
      </c>
      <c r="AQ35" s="59" t="s">
        <v>331</v>
      </c>
      <c r="AR35" s="59" t="s">
        <v>331</v>
      </c>
      <c r="AS35" s="59" t="s">
        <v>331</v>
      </c>
    </row>
  </sheetData>
  <pageMargins left="0.39370078740157483" right="0.39370078740157483" top="0.39370078740157483" bottom="0.59055118110236227" header="0.31496062992125984" footer="0.19685039370078741"/>
  <pageSetup paperSize="9" scale="66" orientation="landscape" verticalDpi="0" r:id="rId1"/>
  <headerFooter>
    <oddFooter>&amp;L&amp;"Arial Black,Normal"&amp;F - &amp;A&amp;C&amp;"Arial Black,Normal"&amp;8p. &amp;P / &amp;N&amp;R&amp;"Arial Narrow,Normal"&amp;8&amp;G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84AAA-0AB3-4E61-A249-CE0AA7FD24F7}">
  <sheetPr>
    <pageSetUpPr fitToPage="1"/>
  </sheetPr>
  <dimension ref="A1:AS24"/>
  <sheetViews>
    <sheetView showGridLines="0" view="pageBreakPreview" topLeftCell="B3" zoomScale="60" zoomScaleNormal="100" workbookViewId="0">
      <pane xSplit="3" topLeftCell="E1" activePane="topRight" state="frozen"/>
      <selection activeCell="B30" sqref="B30"/>
      <selection pane="topRight" activeCell="O26" sqref="O26"/>
    </sheetView>
  </sheetViews>
  <sheetFormatPr baseColWidth="10" defaultColWidth="9.125" defaultRowHeight="11.4" outlineLevelRow="1" outlineLevelCol="1" x14ac:dyDescent="0.2"/>
  <cols>
    <col min="1" max="1" width="41.125" style="209" hidden="1" customWidth="1" outlineLevel="1"/>
    <col min="2" max="2" width="2.75" customWidth="1" collapsed="1"/>
    <col min="3" max="3" width="46.125" customWidth="1"/>
    <col min="4" max="4" width="2.75" customWidth="1"/>
    <col min="5" max="5" width="12.625" customWidth="1"/>
    <col min="6" max="6" width="10.75" customWidth="1"/>
    <col min="7" max="7" width="2.75" customWidth="1"/>
    <col min="8" max="8" width="12.625" customWidth="1"/>
    <col min="9" max="9" width="10.75" customWidth="1"/>
    <col min="10" max="10" width="2.75" customWidth="1"/>
    <col min="11" max="11" width="12.625" customWidth="1"/>
    <col min="12" max="12" width="10.75" customWidth="1"/>
    <col min="13" max="13" width="2.75" customWidth="1"/>
    <col min="14" max="14" width="12.625" customWidth="1"/>
    <col min="15" max="15" width="10.75" customWidth="1"/>
    <col min="16" max="16" width="2.75" customWidth="1"/>
    <col min="17" max="17" width="12.625" customWidth="1"/>
    <col min="18" max="18" width="10.75" customWidth="1"/>
    <col min="19" max="19" width="2.75" customWidth="1"/>
    <col min="20" max="20" width="12.625" customWidth="1"/>
    <col min="21" max="21" width="10.75" customWidth="1"/>
    <col min="22" max="22" width="2.75" customWidth="1"/>
    <col min="23" max="23" width="12.625" customWidth="1"/>
    <col min="24" max="24" width="10.75" customWidth="1"/>
    <col min="25" max="25" width="2.75" customWidth="1"/>
    <col min="26" max="26" width="12.625" customWidth="1"/>
    <col min="27" max="27" width="10.75" customWidth="1"/>
    <col min="28" max="28" width="2.75" customWidth="1"/>
    <col min="29" max="29" width="12.625" customWidth="1"/>
    <col min="30" max="30" width="10.75" customWidth="1"/>
    <col min="31" max="31" width="2.75" customWidth="1"/>
    <col min="32" max="32" width="12.625" customWidth="1"/>
    <col min="33" max="33" width="10.75" customWidth="1"/>
    <col min="34" max="34" width="2.75" customWidth="1"/>
    <col min="35" max="35" width="12.625" customWidth="1"/>
    <col min="36" max="36" width="10.75" customWidth="1"/>
    <col min="37" max="37" width="2.75" customWidth="1"/>
    <col min="38" max="38" width="12.625" customWidth="1"/>
    <col min="39" max="39" width="10.75" customWidth="1"/>
    <col min="40" max="40" width="2.875" customWidth="1"/>
    <col min="41" max="41" width="12.625" customWidth="1"/>
    <col min="42" max="42" width="10.75" customWidth="1"/>
    <col min="43" max="43" width="2.875" customWidth="1"/>
    <col min="44" max="44" width="12.625" customWidth="1"/>
    <col min="45" max="45" width="10.75" customWidth="1"/>
  </cols>
  <sheetData>
    <row r="1" spans="1:45" s="122" customFormat="1" ht="15.6" hidden="1" outlineLevel="1" x14ac:dyDescent="0.45">
      <c r="A1" s="119"/>
      <c r="B1" s="123"/>
      <c r="D1" s="123"/>
      <c r="E1" s="126" t="str" cm="1">
        <f t="array" ref="E1">YEAR(E$2)&amp;INDEX(TableYtd,MONTH(E$2),1)</f>
        <v>2025Sep</v>
      </c>
      <c r="F1" s="120" t="str">
        <f>E1&amp;"_%Capital"</f>
        <v>2025Sep_%Capital</v>
      </c>
      <c r="G1" s="124"/>
      <c r="H1" s="126" t="str" cm="1">
        <f t="array" ref="H1">YEAR(H$2)&amp;INDEX(TableYtd,MONTH(H$2),1)</f>
        <v>2025Jun</v>
      </c>
      <c r="I1" s="120" t="str">
        <f>H1&amp;"_%Capital"</f>
        <v>2025Jun_%Capital</v>
      </c>
      <c r="J1" s="120"/>
      <c r="K1" s="126" t="str" cm="1">
        <f t="array" ref="K1">YEAR(K$2)&amp;INDEX(TableYtd,MONTH(K$2),1)</f>
        <v>2025Mar</v>
      </c>
      <c r="L1" s="120" t="str">
        <f>K1&amp;"_%Capital"</f>
        <v>2025Mar_%Capital</v>
      </c>
      <c r="M1" s="120"/>
      <c r="N1" s="126" t="str" cm="1">
        <f t="array" ref="N1">YEAR(N$2)&amp;INDEX(TableYtd,MONTH(N$2),1)</f>
        <v>2024Dec</v>
      </c>
      <c r="O1" s="120" t="str">
        <f>N1&amp;"_%Capital"</f>
        <v>2024Dec_%Capital</v>
      </c>
      <c r="P1" s="120"/>
      <c r="Q1" s="126" t="str" cm="1">
        <f t="array" ref="Q1">YEAR(Q$2)&amp;INDEX(TableYtd,MONTH(Q$2),1)</f>
        <v>2024Sep</v>
      </c>
      <c r="R1" s="120" t="str">
        <f>Q1&amp;"_%Capital"</f>
        <v>2024Sep_%Capital</v>
      </c>
      <c r="S1" s="120"/>
      <c r="T1" s="126" t="str" cm="1">
        <f t="array" ref="T1">YEAR(T$2)&amp;INDEX(TableYtd,MONTH(T$2),1)</f>
        <v>2024Jun</v>
      </c>
      <c r="U1" s="120" t="str">
        <f t="shared" ref="U1" si="0">T1&amp;"_%Capital"</f>
        <v>2024Jun_%Capital</v>
      </c>
      <c r="V1" s="120"/>
      <c r="W1" s="126" t="str" cm="1">
        <f t="array" ref="W1">YEAR(W$2)&amp;INDEX(TableYtd,MONTH(W$2),1)</f>
        <v>2024Mar</v>
      </c>
      <c r="X1" s="120" t="str">
        <f t="shared" ref="X1" si="1">W1&amp;"_%Capital"</f>
        <v>2024Mar_%Capital</v>
      </c>
      <c r="Y1" s="120"/>
      <c r="Z1" s="126" t="str" cm="1">
        <f t="array" ref="Z1">YEAR(Z$2)&amp;INDEX(TableYtd,MONTH(Z$2),1)</f>
        <v>2023Dec</v>
      </c>
      <c r="AA1" s="120" t="str">
        <f t="shared" ref="AA1" si="2">Z1&amp;"_%Capital"</f>
        <v>2023Dec_%Capital</v>
      </c>
      <c r="AB1" s="120"/>
      <c r="AC1" s="126" t="str" cm="1">
        <f t="array" ref="AC1">YEAR(AC$2)&amp;INDEX(TableYtd,MONTH(AC$2),1)</f>
        <v>2023Sep</v>
      </c>
      <c r="AD1" s="120" t="str">
        <f>AC1&amp;"_%Capital"</f>
        <v>2023Sep_%Capital</v>
      </c>
      <c r="AE1" s="120"/>
      <c r="AF1" s="126" t="str" cm="1">
        <f t="array" ref="AF1">YEAR(AF$2)&amp;INDEX(TableYtd,MONTH(AF$2),1)</f>
        <v>2023Jun</v>
      </c>
      <c r="AG1" s="120" t="str">
        <f t="shared" ref="AG1" si="3">AF1&amp;"_%Capital"</f>
        <v>2023Jun_%Capital</v>
      </c>
      <c r="AH1" s="120"/>
      <c r="AI1" s="126" t="str" cm="1">
        <f t="array" ref="AI1">YEAR(AI$2)&amp;INDEX(TableYtd,MONTH(AI$2),1)</f>
        <v>2023Mar</v>
      </c>
      <c r="AJ1" s="120" t="str">
        <f t="shared" ref="AJ1" si="4">AI1&amp;"_%Capital"</f>
        <v>2023Mar_%Capital</v>
      </c>
      <c r="AK1" s="120"/>
      <c r="AL1" s="126" t="str" cm="1">
        <f t="array" ref="AL1">YEAR(AL$2)&amp;INDEX(TableYtd,MONTH(AL$2),1)</f>
        <v>2022Dec</v>
      </c>
      <c r="AM1" s="120" t="str">
        <f t="shared" ref="AM1" si="5">AL1&amp;"_%Capital"</f>
        <v>2022Dec_%Capital</v>
      </c>
      <c r="AN1" s="120"/>
      <c r="AO1" s="126" t="str" cm="1">
        <f t="array" ref="AO1">YEAR(AO$2)&amp;INDEX(TableYtd,MONTH(AO$2),1)</f>
        <v>2022Sep</v>
      </c>
      <c r="AP1" s="120" t="str">
        <f t="shared" ref="AP1" si="6">AO1&amp;"_%Capital"</f>
        <v>2022Sep_%Capital</v>
      </c>
      <c r="AQ1" s="120"/>
      <c r="AR1" s="126" t="str" cm="1">
        <f t="array" ref="AR1">YEAR(AR$2)&amp;INDEX(TableYtd,MONTH(AR$2),1)</f>
        <v>2022Jun</v>
      </c>
      <c r="AS1" s="120" t="str">
        <f t="shared" ref="AS1" si="7">AR1&amp;"_%Capital"</f>
        <v>2022Jun_%Capital</v>
      </c>
    </row>
    <row r="2" spans="1:45" hidden="1" outlineLevel="1" x14ac:dyDescent="0.2">
      <c r="A2" s="119"/>
      <c r="E2" s="125">
        <f>DateRef</f>
        <v>45930</v>
      </c>
      <c r="F2" s="125"/>
      <c r="H2" s="125">
        <f>EOMONTH(E2,-3)</f>
        <v>45838</v>
      </c>
      <c r="K2" s="125">
        <f>EOMONTH(H2,-3)</f>
        <v>45747</v>
      </c>
      <c r="N2" s="125">
        <f>EOMONTH(K2,-3)</f>
        <v>45657</v>
      </c>
      <c r="Q2" s="125">
        <f>EOMONTH(N2,-3)</f>
        <v>45565</v>
      </c>
      <c r="T2" s="125">
        <f t="shared" ref="T2" si="8">EOMONTH(Q2,-3)</f>
        <v>45473</v>
      </c>
      <c r="W2" s="125">
        <f t="shared" ref="W2" si="9">EOMONTH(T2,-3)</f>
        <v>45382</v>
      </c>
      <c r="Z2" s="125">
        <f t="shared" ref="Z2" si="10">EOMONTH(W2,-3)</f>
        <v>45291</v>
      </c>
      <c r="AC2" s="125">
        <f>EOMONTH(Z2,-3)</f>
        <v>45199</v>
      </c>
      <c r="AF2" s="125">
        <f t="shared" ref="AF2" si="11">EOMONTH(AC2,-3)</f>
        <v>45107</v>
      </c>
      <c r="AI2" s="125">
        <f t="shared" ref="AI2" si="12">EOMONTH(AF2,-3)</f>
        <v>45016</v>
      </c>
      <c r="AL2" s="125">
        <f t="shared" ref="AL2" si="13">EOMONTH(AI2,-3)</f>
        <v>44926</v>
      </c>
      <c r="AO2" s="125">
        <f t="shared" ref="AO2" si="14">EOMONTH(AL2,-3)</f>
        <v>44834</v>
      </c>
      <c r="AR2" s="125">
        <f t="shared" ref="AR2" si="15">EOMONTH(AO2,-3)</f>
        <v>44742</v>
      </c>
    </row>
    <row r="3" spans="1:45" collapsed="1" x14ac:dyDescent="0.2">
      <c r="A3" s="119"/>
    </row>
    <row r="4" spans="1:45" ht="17.399999999999999" x14ac:dyDescent="0.3">
      <c r="C4" s="121" t="s">
        <v>170</v>
      </c>
      <c r="F4" s="147"/>
      <c r="N4" s="121" t="s">
        <v>249</v>
      </c>
      <c r="Q4" s="121"/>
    </row>
    <row r="5" spans="1:45" ht="20.100000000000001" customHeight="1" x14ac:dyDescent="0.3">
      <c r="A5" s="119"/>
      <c r="B5" s="209"/>
      <c r="C5" s="146">
        <f>DateRef</f>
        <v>45930</v>
      </c>
      <c r="D5" s="209"/>
      <c r="E5" s="210">
        <f>E2</f>
        <v>45930</v>
      </c>
      <c r="F5" s="211"/>
      <c r="H5" s="314">
        <f>H2</f>
        <v>45838</v>
      </c>
      <c r="I5" s="314"/>
      <c r="J5" s="209"/>
      <c r="K5" s="212">
        <f>K2</f>
        <v>45747</v>
      </c>
      <c r="L5" s="213"/>
      <c r="M5" s="209"/>
      <c r="N5" s="314">
        <f>N2</f>
        <v>45657</v>
      </c>
      <c r="O5" s="320"/>
      <c r="P5" s="209"/>
      <c r="Q5" s="314">
        <f>Q2</f>
        <v>45565</v>
      </c>
      <c r="R5" s="314"/>
      <c r="S5" s="209"/>
      <c r="T5" s="314">
        <f>T2</f>
        <v>45473</v>
      </c>
      <c r="U5" s="314"/>
      <c r="V5" s="209"/>
      <c r="W5" s="212">
        <f>W2</f>
        <v>45382</v>
      </c>
      <c r="X5" s="213"/>
      <c r="Y5" s="209"/>
      <c r="Z5" s="314">
        <f>Z2</f>
        <v>45291</v>
      </c>
      <c r="AA5" s="320"/>
      <c r="AB5" s="209"/>
      <c r="AC5" s="314">
        <f>AC2</f>
        <v>45199</v>
      </c>
      <c r="AD5" s="320"/>
      <c r="AE5" s="209"/>
      <c r="AF5" s="314">
        <f>AF2</f>
        <v>45107</v>
      </c>
      <c r="AG5" s="314"/>
      <c r="AH5" s="209"/>
      <c r="AI5" s="212">
        <f>AI2</f>
        <v>45016</v>
      </c>
      <c r="AJ5" s="213"/>
      <c r="AK5" s="209"/>
      <c r="AL5" s="314">
        <f>AL2</f>
        <v>44926</v>
      </c>
      <c r="AM5" s="314"/>
      <c r="AN5" s="209"/>
      <c r="AO5" s="314">
        <f>AO2</f>
        <v>44834</v>
      </c>
      <c r="AP5" s="314"/>
      <c r="AQ5" s="209"/>
      <c r="AR5" s="314">
        <f>AR2</f>
        <v>44742</v>
      </c>
      <c r="AS5" s="314"/>
    </row>
    <row r="6" spans="1:45" ht="32.1" customHeight="1" x14ac:dyDescent="0.25">
      <c r="A6" s="119"/>
      <c r="B6" s="209"/>
      <c r="C6" s="214" t="s">
        <v>165</v>
      </c>
      <c r="D6" s="209"/>
      <c r="E6" s="215" t="s">
        <v>159</v>
      </c>
      <c r="F6" s="215" t="s">
        <v>160</v>
      </c>
      <c r="H6" s="315" t="s">
        <v>159</v>
      </c>
      <c r="I6" s="315" t="s">
        <v>160</v>
      </c>
      <c r="J6" s="209"/>
      <c r="K6" s="216" t="s">
        <v>159</v>
      </c>
      <c r="L6" s="216" t="s">
        <v>160</v>
      </c>
      <c r="M6" s="209"/>
      <c r="N6" s="315" t="s">
        <v>159</v>
      </c>
      <c r="O6" s="315" t="s">
        <v>160</v>
      </c>
      <c r="P6" s="209"/>
      <c r="Q6" s="315" t="s">
        <v>159</v>
      </c>
      <c r="R6" s="315" t="s">
        <v>160</v>
      </c>
      <c r="S6" s="209"/>
      <c r="T6" s="315" t="s">
        <v>159</v>
      </c>
      <c r="U6" s="315" t="s">
        <v>160</v>
      </c>
      <c r="V6" s="209"/>
      <c r="W6" s="216" t="s">
        <v>159</v>
      </c>
      <c r="X6" s="216" t="s">
        <v>160</v>
      </c>
      <c r="Y6" s="209"/>
      <c r="Z6" s="315" t="s">
        <v>159</v>
      </c>
      <c r="AA6" s="315" t="s">
        <v>160</v>
      </c>
      <c r="AB6" s="209"/>
      <c r="AC6" s="315" t="s">
        <v>159</v>
      </c>
      <c r="AD6" s="315" t="s">
        <v>160</v>
      </c>
      <c r="AE6" s="209"/>
      <c r="AF6" s="315" t="s">
        <v>159</v>
      </c>
      <c r="AG6" s="315" t="s">
        <v>160</v>
      </c>
      <c r="AH6" s="209"/>
      <c r="AI6" s="216" t="s">
        <v>159</v>
      </c>
      <c r="AJ6" s="216" t="s">
        <v>160</v>
      </c>
      <c r="AK6" s="209"/>
      <c r="AL6" s="315" t="s">
        <v>159</v>
      </c>
      <c r="AM6" s="315" t="s">
        <v>160</v>
      </c>
      <c r="AN6" s="209"/>
      <c r="AO6" s="315" t="s">
        <v>159</v>
      </c>
      <c r="AP6" s="315" t="s">
        <v>160</v>
      </c>
      <c r="AQ6" s="209"/>
      <c r="AR6" s="315" t="s">
        <v>159</v>
      </c>
      <c r="AS6" s="315" t="s">
        <v>160</v>
      </c>
    </row>
    <row r="7" spans="1:45" ht="24" customHeight="1" x14ac:dyDescent="0.2">
      <c r="A7" s="119" t="s">
        <v>152</v>
      </c>
      <c r="B7" s="209"/>
      <c r="C7" s="217" t="s">
        <v>161</v>
      </c>
      <c r="D7" s="209"/>
      <c r="E7" s="218">
        <v>141057399</v>
      </c>
      <c r="F7" s="219">
        <v>0.68668048763606204</v>
      </c>
      <c r="H7" s="218">
        <v>141057399</v>
      </c>
      <c r="I7" s="219">
        <v>0.68668048763606204</v>
      </c>
      <c r="J7" s="209"/>
      <c r="K7" s="218">
        <v>141057399</v>
      </c>
      <c r="L7" s="219">
        <v>0.68668048763606204</v>
      </c>
      <c r="M7" s="209"/>
      <c r="N7" s="218">
        <v>141057399</v>
      </c>
      <c r="O7" s="219">
        <v>0.68668048763606204</v>
      </c>
      <c r="P7" s="209"/>
      <c r="Q7" s="218">
        <v>141057399</v>
      </c>
      <c r="R7" s="219">
        <v>0.6892696301585387</v>
      </c>
      <c r="S7" s="209"/>
      <c r="T7" s="218">
        <v>141057399</v>
      </c>
      <c r="U7" s="219">
        <v>0.6892696301585387</v>
      </c>
      <c r="V7" s="209"/>
      <c r="W7" s="218">
        <v>141057399</v>
      </c>
      <c r="X7" s="219">
        <v>0.6892696301585387</v>
      </c>
      <c r="Y7" s="209"/>
      <c r="Z7" s="218">
        <v>141057399</v>
      </c>
      <c r="AA7" s="219">
        <v>0.6892696301585387</v>
      </c>
      <c r="AB7" s="209"/>
      <c r="AC7" s="218">
        <v>141057399</v>
      </c>
      <c r="AD7" s="219">
        <v>0.6892696301585387</v>
      </c>
      <c r="AE7" s="209"/>
      <c r="AF7" s="218">
        <v>141057399</v>
      </c>
      <c r="AG7" s="219">
        <v>0.69193224937150655</v>
      </c>
      <c r="AH7" s="209"/>
      <c r="AI7" s="218">
        <v>141057399</v>
      </c>
      <c r="AJ7" s="219">
        <v>0.69193224937150655</v>
      </c>
      <c r="AK7" s="209"/>
      <c r="AL7" s="218">
        <v>141057399</v>
      </c>
      <c r="AM7" s="219">
        <v>0.69193224937150655</v>
      </c>
      <c r="AN7" s="209"/>
      <c r="AO7" s="218">
        <v>141057399</v>
      </c>
      <c r="AP7" s="219">
        <v>0.69193224937150655</v>
      </c>
      <c r="AQ7" s="209"/>
      <c r="AR7" s="218">
        <v>141057399</v>
      </c>
      <c r="AS7" s="219">
        <v>0.69460859986902057</v>
      </c>
    </row>
    <row r="8" spans="1:45" x14ac:dyDescent="0.2">
      <c r="A8" s="220" t="s">
        <v>153</v>
      </c>
      <c r="B8" s="209"/>
      <c r="C8" s="217" t="s">
        <v>162</v>
      </c>
      <c r="D8" s="209"/>
      <c r="E8" s="218">
        <v>4221408</v>
      </c>
      <c r="F8" s="219">
        <v>2.0550205267507973E-2</v>
      </c>
      <c r="H8" s="218">
        <v>4398054</v>
      </c>
      <c r="I8" s="219">
        <v>2.1410134362180699E-2</v>
      </c>
      <c r="J8" s="209"/>
      <c r="K8" s="218">
        <v>4128079</v>
      </c>
      <c r="L8" s="219">
        <v>2.0095871048353781E-2</v>
      </c>
      <c r="M8" s="209"/>
      <c r="N8" s="218">
        <v>4272132</v>
      </c>
      <c r="O8" s="219">
        <v>2.0797134399207412E-2</v>
      </c>
      <c r="P8" s="209"/>
      <c r="Q8" s="218">
        <v>2751891</v>
      </c>
      <c r="R8" s="219">
        <v>1.3446971979162975E-2</v>
      </c>
      <c r="S8" s="209"/>
      <c r="T8" s="218">
        <v>2879073</v>
      </c>
      <c r="U8" s="219">
        <v>1.4068440195111174E-2</v>
      </c>
      <c r="V8" s="209"/>
      <c r="W8" s="218">
        <v>2869026</v>
      </c>
      <c r="X8" s="219">
        <v>1.4019346053128569E-2</v>
      </c>
      <c r="Y8" s="209"/>
      <c r="Z8" s="218">
        <v>2918391</v>
      </c>
      <c r="AA8" s="219">
        <v>1.4260565553374538E-2</v>
      </c>
      <c r="AB8" s="209"/>
      <c r="AC8" s="218">
        <v>3042292</v>
      </c>
      <c r="AD8" s="219">
        <v>1.486600133378527E-2</v>
      </c>
      <c r="AE8" s="209"/>
      <c r="AF8" s="218">
        <v>2319318</v>
      </c>
      <c r="AG8" s="219">
        <v>1.1377006325969642E-2</v>
      </c>
      <c r="AH8" s="209"/>
      <c r="AI8" s="218">
        <v>2238508</v>
      </c>
      <c r="AJ8" s="219">
        <v>1.0980607090848971E-2</v>
      </c>
      <c r="AK8" s="209"/>
      <c r="AL8" s="218">
        <v>2279907</v>
      </c>
      <c r="AM8" s="219">
        <v>1.118368260049828E-2</v>
      </c>
      <c r="AN8" s="209"/>
      <c r="AO8" s="218">
        <v>2353097</v>
      </c>
      <c r="AP8" s="219">
        <v>1.1542703266486177E-2</v>
      </c>
      <c r="AQ8" s="209"/>
      <c r="AR8" s="218">
        <v>1616254</v>
      </c>
      <c r="AS8" s="219">
        <v>7.9589155615488408E-3</v>
      </c>
    </row>
    <row r="9" spans="1:45" x14ac:dyDescent="0.2">
      <c r="A9" s="220" t="s">
        <v>154</v>
      </c>
      <c r="B9" s="209"/>
      <c r="C9" s="217" t="s">
        <v>163</v>
      </c>
      <c r="D9" s="209"/>
      <c r="E9" s="218">
        <v>1651188</v>
      </c>
      <c r="F9" s="219">
        <v>8.0381361705018691E-3</v>
      </c>
      <c r="H9" s="218">
        <v>1625258</v>
      </c>
      <c r="I9" s="219">
        <v>7.9119065280255953E-3</v>
      </c>
      <c r="J9" s="209"/>
      <c r="K9" s="218">
        <v>1961141</v>
      </c>
      <c r="L9" s="219">
        <v>9.5470160923857277E-3</v>
      </c>
      <c r="M9" s="209"/>
      <c r="N9" s="218">
        <v>1992485</v>
      </c>
      <c r="O9" s="219">
        <v>9.6996015884819996E-3</v>
      </c>
      <c r="P9" s="209"/>
      <c r="Q9" s="218">
        <v>958031</v>
      </c>
      <c r="R9" s="219">
        <v>4.6813685615344084E-3</v>
      </c>
      <c r="S9" s="209"/>
      <c r="T9" s="218">
        <v>963625</v>
      </c>
      <c r="U9" s="219">
        <v>4.7087033510487594E-3</v>
      </c>
      <c r="V9" s="209"/>
      <c r="W9" s="218">
        <v>1259079</v>
      </c>
      <c r="X9" s="219">
        <v>6.1524239268752065E-3</v>
      </c>
      <c r="Y9" s="209"/>
      <c r="Z9" s="218">
        <v>1247998</v>
      </c>
      <c r="AA9" s="219">
        <v>6.0982771977710721E-3</v>
      </c>
      <c r="AB9" s="209"/>
      <c r="AC9" s="218">
        <v>1297231</v>
      </c>
      <c r="AD9" s="219">
        <v>6.3388516868951436E-3</v>
      </c>
      <c r="AE9" s="209"/>
      <c r="AF9" s="218">
        <v>1315690</v>
      </c>
      <c r="AG9" s="219">
        <v>6.4538857772047636E-3</v>
      </c>
      <c r="AH9" s="209"/>
      <c r="AI9" s="218">
        <v>1331680</v>
      </c>
      <c r="AJ9" s="219">
        <v>6.5323219084951929E-3</v>
      </c>
      <c r="AK9" s="209"/>
      <c r="AL9" s="218">
        <v>1343479</v>
      </c>
      <c r="AM9" s="219">
        <v>6.5901998267625956E-3</v>
      </c>
      <c r="AN9" s="209"/>
      <c r="AO9" s="218">
        <v>1399468</v>
      </c>
      <c r="AP9" s="219">
        <v>6.864844014055892E-3</v>
      </c>
      <c r="AQ9" s="209"/>
      <c r="AR9" s="218">
        <v>359468</v>
      </c>
      <c r="AS9" s="219">
        <v>1.7701273803986495E-3</v>
      </c>
    </row>
    <row r="10" spans="1:45" x14ac:dyDescent="0.2">
      <c r="A10" s="220" t="s">
        <v>155</v>
      </c>
      <c r="B10" s="209"/>
      <c r="C10" s="217" t="s">
        <v>164</v>
      </c>
      <c r="D10" s="209"/>
      <c r="E10" s="218">
        <v>58489267</v>
      </c>
      <c r="F10" s="219">
        <v>0.28473117092592809</v>
      </c>
      <c r="H10" s="218">
        <v>58338551</v>
      </c>
      <c r="I10" s="219">
        <v>0.28399747147373161</v>
      </c>
      <c r="J10" s="209"/>
      <c r="K10" s="218">
        <v>58272643</v>
      </c>
      <c r="L10" s="219">
        <v>0.28367662522319842</v>
      </c>
      <c r="M10" s="209"/>
      <c r="N10" s="218">
        <v>58097246</v>
      </c>
      <c r="O10" s="219">
        <v>0.28282277637624847</v>
      </c>
      <c r="P10" s="209"/>
      <c r="Q10" s="218">
        <v>59880313</v>
      </c>
      <c r="R10" s="219">
        <v>0.29260202930076384</v>
      </c>
      <c r="S10" s="209"/>
      <c r="T10" s="218">
        <v>59747537</v>
      </c>
      <c r="U10" s="219">
        <v>0.29195322629530129</v>
      </c>
      <c r="V10" s="209"/>
      <c r="W10" s="218">
        <v>59462130</v>
      </c>
      <c r="X10" s="219">
        <v>0.29055859986145749</v>
      </c>
      <c r="Y10" s="209"/>
      <c r="Z10" s="218">
        <v>59423846</v>
      </c>
      <c r="AA10" s="219">
        <v>0.29037152709031566</v>
      </c>
      <c r="AB10" s="209"/>
      <c r="AC10" s="218">
        <v>59250712</v>
      </c>
      <c r="AD10" s="219">
        <v>0.28952551682078081</v>
      </c>
      <c r="AE10" s="209"/>
      <c r="AF10" s="218">
        <v>59167724</v>
      </c>
      <c r="AG10" s="219">
        <v>0.290236858525319</v>
      </c>
      <c r="AH10" s="209"/>
      <c r="AI10" s="218">
        <v>59232544</v>
      </c>
      <c r="AJ10" s="219">
        <v>0.29055482162914925</v>
      </c>
      <c r="AK10" s="209"/>
      <c r="AL10" s="218">
        <v>59179346</v>
      </c>
      <c r="AM10" s="219">
        <v>0.29029386820123254</v>
      </c>
      <c r="AN10" s="209"/>
      <c r="AO10" s="218">
        <v>59050167</v>
      </c>
      <c r="AP10" s="219">
        <v>0.28966020334795134</v>
      </c>
      <c r="AQ10" s="209"/>
      <c r="AR10" s="218">
        <v>60041530</v>
      </c>
      <c r="AS10" s="219">
        <v>0.29566235718903194</v>
      </c>
    </row>
    <row r="11" spans="1:45" ht="4.5" customHeight="1" x14ac:dyDescent="0.2">
      <c r="A11" s="119"/>
      <c r="B11" s="209"/>
      <c r="C11" s="214"/>
      <c r="D11" s="209"/>
      <c r="E11" s="209"/>
      <c r="F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row>
    <row r="12" spans="1:45" ht="18" customHeight="1" x14ac:dyDescent="0.2">
      <c r="A12" s="119" t="s">
        <v>156</v>
      </c>
      <c r="B12" s="209"/>
      <c r="C12" s="221" t="s">
        <v>166</v>
      </c>
      <c r="D12" s="209"/>
      <c r="E12" s="228">
        <f>SUM(E7:E10)</f>
        <v>205419262</v>
      </c>
      <c r="F12" s="229">
        <f>SUM(F7:F10)</f>
        <v>1</v>
      </c>
      <c r="H12" s="316">
        <f>SUM(H7:H10)</f>
        <v>205419262</v>
      </c>
      <c r="I12" s="317">
        <f>SUM(I7:I10)</f>
        <v>1</v>
      </c>
      <c r="J12" s="209"/>
      <c r="K12" s="230">
        <f>SUM(K7:K10)</f>
        <v>205419262</v>
      </c>
      <c r="L12" s="231">
        <f>SUM(L7:L10)</f>
        <v>1</v>
      </c>
      <c r="M12" s="209"/>
      <c r="N12" s="316">
        <f>SUM(N7:N10)</f>
        <v>205419262</v>
      </c>
      <c r="O12" s="317">
        <f>SUM(O7:O10)</f>
        <v>1</v>
      </c>
      <c r="P12" s="209"/>
      <c r="Q12" s="316">
        <f>SUM(Q7:Q10)</f>
        <v>204647634</v>
      </c>
      <c r="R12" s="317">
        <f>SUM(R7:R10)</f>
        <v>1</v>
      </c>
      <c r="S12" s="209"/>
      <c r="T12" s="316">
        <f t="shared" ref="T12:U12" si="16">SUM(T7:T10)</f>
        <v>204647634</v>
      </c>
      <c r="U12" s="317">
        <f t="shared" si="16"/>
        <v>1</v>
      </c>
      <c r="V12" s="209"/>
      <c r="W12" s="230">
        <f t="shared" ref="W12:X12" si="17">SUM(W7:W10)</f>
        <v>204647634</v>
      </c>
      <c r="X12" s="231">
        <f t="shared" si="17"/>
        <v>1</v>
      </c>
      <c r="Y12" s="209"/>
      <c r="Z12" s="316">
        <f t="shared" ref="Z12:AA12" si="18">SUM(Z7:Z10)</f>
        <v>204647634</v>
      </c>
      <c r="AA12" s="317">
        <f t="shared" si="18"/>
        <v>1</v>
      </c>
      <c r="AB12" s="209"/>
      <c r="AC12" s="316">
        <f>SUM(AC7:AC10)</f>
        <v>204647634</v>
      </c>
      <c r="AD12" s="317">
        <f>SUM(AD7:AD10)</f>
        <v>1</v>
      </c>
      <c r="AE12" s="209"/>
      <c r="AF12" s="316">
        <f t="shared" ref="AF12:AG12" si="19">SUM(AF7:AF10)</f>
        <v>203860131</v>
      </c>
      <c r="AG12" s="317">
        <f t="shared" si="19"/>
        <v>0.99999999999999989</v>
      </c>
      <c r="AH12" s="209"/>
      <c r="AI12" s="230">
        <f t="shared" ref="AI12:AJ12" si="20">SUM(AI7:AI10)</f>
        <v>203860131</v>
      </c>
      <c r="AJ12" s="231">
        <f t="shared" si="20"/>
        <v>0.99999999999999989</v>
      </c>
      <c r="AK12" s="209"/>
      <c r="AL12" s="316">
        <f t="shared" ref="AL12:AM12" si="21">SUM(AL7:AL10)</f>
        <v>203860131</v>
      </c>
      <c r="AM12" s="317">
        <f t="shared" si="21"/>
        <v>1</v>
      </c>
      <c r="AN12" s="209"/>
      <c r="AO12" s="316">
        <f t="shared" ref="AO12:AP12" si="22">SUM(AO7:AO10)</f>
        <v>203860131</v>
      </c>
      <c r="AP12" s="317">
        <f t="shared" si="22"/>
        <v>1</v>
      </c>
      <c r="AQ12" s="209"/>
      <c r="AR12" s="316">
        <f t="shared" ref="AR12:AS12" si="23">SUM(AR7:AR10)</f>
        <v>203074651</v>
      </c>
      <c r="AS12" s="317">
        <f t="shared" si="23"/>
        <v>1</v>
      </c>
    </row>
    <row r="13" spans="1:45" ht="15" customHeight="1" x14ac:dyDescent="0.25">
      <c r="A13" s="119" t="s">
        <v>157</v>
      </c>
      <c r="B13" s="209"/>
      <c r="C13" s="224" t="s">
        <v>167</v>
      </c>
      <c r="D13" s="209"/>
      <c r="E13" s="225">
        <v>205419262</v>
      </c>
      <c r="F13" s="222"/>
      <c r="H13" s="318">
        <v>205419262</v>
      </c>
      <c r="I13" s="319"/>
      <c r="J13" s="209"/>
      <c r="K13" s="226">
        <v>205419262</v>
      </c>
      <c r="L13" s="223"/>
      <c r="M13" s="209"/>
      <c r="N13" s="318">
        <v>204776238.66666666</v>
      </c>
      <c r="O13" s="319"/>
      <c r="P13" s="209"/>
      <c r="Q13" s="318">
        <v>204647634</v>
      </c>
      <c r="R13" s="319"/>
      <c r="S13" s="209"/>
      <c r="T13" s="318">
        <v>204647634</v>
      </c>
      <c r="U13" s="319"/>
      <c r="V13" s="209"/>
      <c r="W13" s="226">
        <v>204647634</v>
      </c>
      <c r="X13" s="223"/>
      <c r="Y13" s="209"/>
      <c r="Z13" s="318">
        <v>204201022.70958903</v>
      </c>
      <c r="AA13" s="319"/>
      <c r="AB13" s="209"/>
      <c r="AC13" s="318">
        <v>204050516.34065935</v>
      </c>
      <c r="AD13" s="319"/>
      <c r="AE13" s="209"/>
      <c r="AF13" s="318">
        <v>203860131</v>
      </c>
      <c r="AG13" s="319"/>
      <c r="AH13" s="209"/>
      <c r="AI13" s="226">
        <v>203860131</v>
      </c>
      <c r="AJ13" s="223"/>
      <c r="AK13" s="209"/>
      <c r="AL13" s="318">
        <v>203414667.00000003</v>
      </c>
      <c r="AM13" s="319"/>
      <c r="AN13" s="209"/>
      <c r="AO13" s="318">
        <v>203264547.26373628</v>
      </c>
      <c r="AP13" s="319"/>
      <c r="AQ13" s="209"/>
      <c r="AR13" s="318">
        <v>203074651</v>
      </c>
      <c r="AS13" s="319"/>
    </row>
    <row r="14" spans="1:45" ht="15" customHeight="1" x14ac:dyDescent="0.25">
      <c r="A14" s="119" t="s">
        <v>158</v>
      </c>
      <c r="B14" s="209"/>
      <c r="C14" s="224" t="s">
        <v>168</v>
      </c>
      <c r="D14" s="209"/>
      <c r="E14" s="225">
        <v>205419262</v>
      </c>
      <c r="F14" s="222"/>
      <c r="H14" s="318">
        <v>205419262</v>
      </c>
      <c r="I14" s="319"/>
      <c r="J14" s="209"/>
      <c r="K14" s="226">
        <v>205419262</v>
      </c>
      <c r="L14" s="223"/>
      <c r="M14" s="209"/>
      <c r="N14" s="318">
        <v>205159256.91304347</v>
      </c>
      <c r="O14" s="319"/>
      <c r="P14" s="209"/>
      <c r="Q14" s="318">
        <v>204647634</v>
      </c>
      <c r="R14" s="319"/>
      <c r="S14" s="209"/>
      <c r="T14" s="318">
        <v>204647634</v>
      </c>
      <c r="U14" s="319"/>
      <c r="V14" s="209"/>
      <c r="W14" s="226">
        <v>204647634</v>
      </c>
      <c r="X14" s="223"/>
      <c r="Y14" s="209"/>
      <c r="Z14" s="318">
        <v>204647634</v>
      </c>
      <c r="AA14" s="319"/>
      <c r="AB14" s="209"/>
      <c r="AC14" s="318">
        <v>204425078.80434781</v>
      </c>
      <c r="AD14" s="319"/>
      <c r="AE14" s="209"/>
      <c r="AF14" s="318">
        <v>203860131</v>
      </c>
      <c r="AG14" s="319"/>
      <c r="AH14" s="209"/>
      <c r="AI14" s="226">
        <v>203860131</v>
      </c>
      <c r="AJ14" s="223"/>
      <c r="AK14" s="209"/>
      <c r="AL14" s="318">
        <v>203860131</v>
      </c>
      <c r="AM14" s="319"/>
      <c r="AN14" s="209"/>
      <c r="AO14" s="318">
        <v>203638147.52173913</v>
      </c>
      <c r="AP14" s="319"/>
      <c r="AQ14" s="209"/>
      <c r="AR14" s="318">
        <v>203074651</v>
      </c>
      <c r="AS14" s="319"/>
    </row>
    <row r="15" spans="1:45" x14ac:dyDescent="0.2">
      <c r="A15" s="119"/>
      <c r="B15" s="77"/>
      <c r="C15" s="227" t="s">
        <v>169</v>
      </c>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row>
    <row r="16" spans="1:45" x14ac:dyDescent="0.2">
      <c r="A16" s="119"/>
      <c r="B16" s="77"/>
      <c r="C16" s="22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row>
    <row r="17" spans="1:45" x14ac:dyDescent="0.2">
      <c r="A17" s="119"/>
      <c r="B17" s="77"/>
      <c r="D17" s="77"/>
      <c r="E17" s="22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row>
    <row r="18" spans="1:45" x14ac:dyDescent="0.2">
      <c r="A18" s="119"/>
      <c r="B18" s="77"/>
      <c r="D18" s="77"/>
      <c r="E18" s="22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row>
    <row r="19" spans="1:45" x14ac:dyDescent="0.2">
      <c r="A19" s="119"/>
      <c r="B19" s="77"/>
      <c r="D19" s="77"/>
      <c r="E19" s="22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row>
    <row r="20" spans="1:45" x14ac:dyDescent="0.2">
      <c r="A20" s="119"/>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row>
    <row r="21" spans="1:45" x14ac:dyDescent="0.2">
      <c r="A21" s="119"/>
    </row>
    <row r="22" spans="1:45" x14ac:dyDescent="0.2">
      <c r="A22" s="119"/>
    </row>
    <row r="23" spans="1:45" x14ac:dyDescent="0.2">
      <c r="A23" s="119"/>
    </row>
    <row r="24" spans="1:45" x14ac:dyDescent="0.2">
      <c r="A24" s="119"/>
    </row>
  </sheetData>
  <conditionalFormatting sqref="C7:C10">
    <cfRule type="expression" dxfId="14" priority="22">
      <formula>ODD(ROW())=ROW()</formula>
    </cfRule>
  </conditionalFormatting>
  <conditionalFormatting sqref="E7:F10">
    <cfRule type="expression" dxfId="13" priority="19">
      <formula>ODD(ROW())=ROW()</formula>
    </cfRule>
  </conditionalFormatting>
  <conditionalFormatting sqref="H7:I10">
    <cfRule type="expression" dxfId="12" priority="17">
      <formula>ODD(ROW())=ROW()</formula>
    </cfRule>
  </conditionalFormatting>
  <conditionalFormatting sqref="K7:L10">
    <cfRule type="expression" dxfId="11" priority="1">
      <formula>ODD(ROW())=ROW()</formula>
    </cfRule>
  </conditionalFormatting>
  <conditionalFormatting sqref="N7:O10">
    <cfRule type="expression" dxfId="10" priority="16">
      <formula>ODD(ROW())=ROW()</formula>
    </cfRule>
  </conditionalFormatting>
  <conditionalFormatting sqref="Q7:R10">
    <cfRule type="expression" dxfId="9" priority="2">
      <formula>ODD(ROW())=ROW()</formula>
    </cfRule>
  </conditionalFormatting>
  <conditionalFormatting sqref="T7:U10">
    <cfRule type="expression" dxfId="8" priority="15">
      <formula>ODD(ROW())=ROW()</formula>
    </cfRule>
  </conditionalFormatting>
  <conditionalFormatting sqref="W7:X10">
    <cfRule type="expression" dxfId="7" priority="3">
      <formula>ODD(ROW())=ROW()</formula>
    </cfRule>
  </conditionalFormatting>
  <conditionalFormatting sqref="Z7:AA10">
    <cfRule type="expression" dxfId="6" priority="14">
      <formula>ODD(ROW())=ROW()</formula>
    </cfRule>
  </conditionalFormatting>
  <conditionalFormatting sqref="AC7:AD10">
    <cfRule type="expression" dxfId="5" priority="4">
      <formula>ODD(ROW())=ROW()</formula>
    </cfRule>
  </conditionalFormatting>
  <conditionalFormatting sqref="AF7:AG10">
    <cfRule type="expression" dxfId="4" priority="12">
      <formula>ODD(ROW())=ROW()</formula>
    </cfRule>
  </conditionalFormatting>
  <conditionalFormatting sqref="AI7:AJ10">
    <cfRule type="expression" dxfId="3" priority="6">
      <formula>ODD(ROW())=ROW()</formula>
    </cfRule>
  </conditionalFormatting>
  <conditionalFormatting sqref="AL7:AM10">
    <cfRule type="expression" dxfId="2" priority="11">
      <formula>ODD(ROW())=ROW()</formula>
    </cfRule>
  </conditionalFormatting>
  <conditionalFormatting sqref="AO7:AP10">
    <cfRule type="expression" dxfId="1" priority="5">
      <formula>ODD(ROW())=ROW()</formula>
    </cfRule>
  </conditionalFormatting>
  <conditionalFormatting sqref="AR7:AS10">
    <cfRule type="expression" dxfId="0" priority="7">
      <formula>ODD(ROW())=ROW()</formula>
    </cfRule>
  </conditionalFormatting>
  <pageMargins left="0.39370078740157483" right="0.39370078740157483" top="0.39370078740157483" bottom="0.59055118110236227" header="0.31496062992125984" footer="0.19685039370078741"/>
  <pageSetup paperSize="9" scale="87" orientation="landscape" verticalDpi="0" r:id="rId1"/>
  <headerFooter>
    <oddFooter>&amp;L&amp;"Arial Black,Normal"&amp;F - &amp;A&amp;C&amp;"Arial Black,Normal"&amp;8p. &amp;P / &amp;N&amp;R&amp;"Arial Narrow,Normal"&amp;8&amp;G</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21</vt:i4>
      </vt:variant>
    </vt:vector>
  </HeadingPairs>
  <TitlesOfParts>
    <vt:vector size="32" baseType="lpstr">
      <vt:lpstr>Content</vt:lpstr>
      <vt:lpstr>Group P&amp;L</vt:lpstr>
      <vt:lpstr>Group P&amp;L restated Amundi US</vt:lpstr>
      <vt:lpstr>Amundi US - P&amp;L contribution</vt:lpstr>
      <vt:lpstr>Assets &amp; flows-by segments</vt:lpstr>
      <vt:lpstr>Assets &amp; flows-by asset classes</vt:lpstr>
      <vt:lpstr>Assets &amp; flows-by geographies</vt:lpstr>
      <vt:lpstr>JV-details</vt:lpstr>
      <vt:lpstr>Shareholding</vt:lpstr>
      <vt:lpstr>UPSLIDE_UndoFormatting</vt:lpstr>
      <vt:lpstr>UPSLIDE_Undo</vt:lpstr>
      <vt:lpstr>DateQ</vt:lpstr>
      <vt:lpstr>DateRef</vt:lpstr>
      <vt:lpstr>DateYtd</vt:lpstr>
      <vt:lpstr>'Amundi US - P&amp;L contribution'!Impression_des_titres</vt:lpstr>
      <vt:lpstr>'Assets &amp; flows-by asset classes'!Impression_des_titres</vt:lpstr>
      <vt:lpstr>'Assets &amp; flows-by geographies'!Impression_des_titres</vt:lpstr>
      <vt:lpstr>'Assets &amp; flows-by segments'!Impression_des_titres</vt:lpstr>
      <vt:lpstr>'Group P&amp;L'!Impression_des_titres</vt:lpstr>
      <vt:lpstr>'Group P&amp;L restated Amundi US'!Impression_des_titres</vt:lpstr>
      <vt:lpstr>'JV-details'!Impression_des_titres</vt:lpstr>
      <vt:lpstr>Shareholding!Impression_des_titres</vt:lpstr>
      <vt:lpstr>TableMonths</vt:lpstr>
      <vt:lpstr>TableYtd</vt:lpstr>
      <vt:lpstr>'Assets &amp; flows-by asset classes'!Zone_d_impression</vt:lpstr>
      <vt:lpstr>'Assets &amp; flows-by geographies'!Zone_d_impression</vt:lpstr>
      <vt:lpstr>'Assets &amp; flows-by segments'!Zone_d_impression</vt:lpstr>
      <vt:lpstr>Content!Zone_d_impression</vt:lpstr>
      <vt:lpstr>'Group P&amp;L'!Zone_d_impression</vt:lpstr>
      <vt:lpstr>'Group P&amp;L restated Amundi US'!Zone_d_impression</vt:lpstr>
      <vt:lpstr>'JV-details'!Zone_d_impression</vt:lpstr>
      <vt:lpstr>Shareholding!Zone_d_impression</vt:lpstr>
    </vt:vector>
  </TitlesOfParts>
  <Company>Amundi Asset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Meilland Cyril (AMUNDI)</dc:creator>
  <cp:lastModifiedBy>Yansaud Reva (AMUNDI)</cp:lastModifiedBy>
  <cp:lastPrinted>2025-10-27T16:50:38Z</cp:lastPrinted>
  <dcterms:created xsi:type="dcterms:W3CDTF">2024-12-09T08:29:45Z</dcterms:created>
  <dcterms:modified xsi:type="dcterms:W3CDTF">2025-10-27T16:51:17Z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eee938f-4a94-486a-a97b-b0ea29e4d686_Enabled">
    <vt:lpwstr>true</vt:lpwstr>
  </property>
  <property fmtid="{D5CDD505-2E9C-101B-9397-08002B2CF9AE}" pid="3" name="MSIP_Label_feee938f-4a94-486a-a97b-b0ea29e4d686_SetDate">
    <vt:lpwstr>2024-12-09T09:54:00Z</vt:lpwstr>
  </property>
  <property fmtid="{D5CDD505-2E9C-101B-9397-08002B2CF9AE}" pid="4" name="MSIP_Label_feee938f-4a94-486a-a97b-b0ea29e4d686_Method">
    <vt:lpwstr>Privileged</vt:lpwstr>
  </property>
  <property fmtid="{D5CDD505-2E9C-101B-9397-08002B2CF9AE}" pid="5" name="MSIP_Label_feee938f-4a94-486a-a97b-b0ea29e4d686_Name">
    <vt:lpwstr>C2</vt:lpwstr>
  </property>
  <property fmtid="{D5CDD505-2E9C-101B-9397-08002B2CF9AE}" pid="6" name="MSIP_Label_feee938f-4a94-486a-a97b-b0ea29e4d686_SiteId">
    <vt:lpwstr>a5c34232-eadc-4609-bff3-dd6fcdae3fe2</vt:lpwstr>
  </property>
  <property fmtid="{D5CDD505-2E9C-101B-9397-08002B2CF9AE}" pid="7" name="MSIP_Label_feee938f-4a94-486a-a97b-b0ea29e4d686_ActionId">
    <vt:lpwstr>64cc96e5-076c-4974-abef-47d21889b87a</vt:lpwstr>
  </property>
  <property fmtid="{D5CDD505-2E9C-101B-9397-08002B2CF9AE}" pid="8" name="MSIP_Label_feee938f-4a94-486a-a97b-b0ea29e4d686_ContentBits">
    <vt:lpwstr>0</vt:lpwstr>
  </property>
</Properties>
</file>